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41717B28-A805-4664-A6E8-51BB1C0BD408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Tuyến trợ giá" sheetId="3" state="hidden" r:id="rId1"/>
    <sheet name="TMĐT 70% ebus 0% diesel" sheetId="14" r:id="rId2"/>
    <sheet name="Mạng lướii" sheetId="9" state="hidden" r:id="rId3"/>
    <sheet name="Điểm đầu cuối" sheetId="6" state="hidden" r:id="rId4"/>
    <sheet name="Phương tiện" sheetId="8" state="hidden" r:id="rId5"/>
    <sheet name="Các chỉ tiêu 24.6" sheetId="16" state="hidden" r:id="rId6"/>
    <sheet name="tính toán số phương tiện" sheetId="17" state="hidden" r:id="rId7"/>
  </sheets>
  <definedNames>
    <definedName name="_Hlk228368492" localSheetId="5">'Các chỉ tiêu 24.6'!#REF!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4" l="1"/>
  <c r="F14" i="14"/>
  <c r="F21" i="14"/>
  <c r="F23" i="14"/>
  <c r="F22" i="14"/>
  <c r="J25" i="14"/>
  <c r="F20" i="14" l="1"/>
  <c r="D7" i="14" l="1"/>
  <c r="AA31" i="17"/>
  <c r="AB31" i="17"/>
  <c r="AC31" i="17"/>
  <c r="AD31" i="17"/>
  <c r="AE31" i="17"/>
  <c r="X44" i="17"/>
  <c r="Y44" i="17"/>
  <c r="Z44" i="17"/>
  <c r="AB44" i="17"/>
  <c r="AC44" i="17"/>
  <c r="AE44" i="17"/>
  <c r="X36" i="17"/>
  <c r="Y36" i="17"/>
  <c r="Z36" i="17"/>
  <c r="AA36" i="17"/>
  <c r="AB36" i="17"/>
  <c r="AC36" i="17"/>
  <c r="AD36" i="17"/>
  <c r="AE36" i="17"/>
  <c r="AA18" i="17"/>
  <c r="AB18" i="17"/>
  <c r="AC18" i="17"/>
  <c r="AD18" i="17"/>
  <c r="AE18" i="17"/>
  <c r="W44" i="17"/>
  <c r="V44" i="17"/>
  <c r="W36" i="17"/>
  <c r="V36" i="17"/>
  <c r="W31" i="17"/>
  <c r="V31" i="17"/>
  <c r="W18" i="17"/>
  <c r="V18" i="17"/>
  <c r="L30" i="17"/>
  <c r="L29" i="17"/>
  <c r="L28" i="17"/>
  <c r="L27" i="17"/>
  <c r="L26" i="17"/>
  <c r="L25" i="17"/>
  <c r="L24" i="17"/>
  <c r="N24" i="17" s="1"/>
  <c r="L23" i="17"/>
  <c r="L22" i="17"/>
  <c r="L21" i="17"/>
  <c r="L20" i="17"/>
  <c r="M7" i="17"/>
  <c r="L17" i="17"/>
  <c r="L16" i="17"/>
  <c r="L15" i="17"/>
  <c r="L14" i="17"/>
  <c r="L13" i="17"/>
  <c r="L12" i="17"/>
  <c r="L11" i="17"/>
  <c r="L10" i="17"/>
  <c r="L9" i="17"/>
  <c r="N9" i="17" s="1"/>
  <c r="L8" i="17"/>
  <c r="L7" i="17"/>
  <c r="N7" i="17" s="1"/>
  <c r="L6" i="17"/>
  <c r="L5" i="17"/>
  <c r="N34" i="17"/>
  <c r="N36" i="17" s="1"/>
  <c r="N42" i="17"/>
  <c r="F44" i="17"/>
  <c r="G44" i="17"/>
  <c r="H44" i="17"/>
  <c r="I44" i="17"/>
  <c r="J44" i="17"/>
  <c r="K44" i="17"/>
  <c r="M44" i="17"/>
  <c r="K31" i="17"/>
  <c r="K18" i="17"/>
  <c r="L43" i="17"/>
  <c r="N43" i="17" s="1"/>
  <c r="L42" i="17"/>
  <c r="L41" i="17"/>
  <c r="N41" i="17" s="1"/>
  <c r="L40" i="17"/>
  <c r="N40" i="17" s="1"/>
  <c r="L39" i="17"/>
  <c r="N39" i="17" s="1"/>
  <c r="L38" i="17"/>
  <c r="N38" i="17" s="1"/>
  <c r="K36" i="17"/>
  <c r="L36" i="17"/>
  <c r="M36" i="17"/>
  <c r="N35" i="17"/>
  <c r="I21" i="17"/>
  <c r="I22" i="17"/>
  <c r="I23" i="17"/>
  <c r="I24" i="17"/>
  <c r="I25" i="17"/>
  <c r="I26" i="17"/>
  <c r="I27" i="17"/>
  <c r="I28" i="17"/>
  <c r="I29" i="17"/>
  <c r="I30" i="17"/>
  <c r="I20" i="17"/>
  <c r="G31" i="17"/>
  <c r="H21" i="17"/>
  <c r="J21" i="17" s="1"/>
  <c r="M21" i="17" s="1"/>
  <c r="H22" i="17"/>
  <c r="H23" i="17"/>
  <c r="J23" i="17" s="1"/>
  <c r="M23" i="17" s="1"/>
  <c r="H24" i="17"/>
  <c r="J24" i="17" s="1"/>
  <c r="M24" i="17" s="1"/>
  <c r="H25" i="17"/>
  <c r="H26" i="17"/>
  <c r="H27" i="17"/>
  <c r="H28" i="17"/>
  <c r="H29" i="17"/>
  <c r="J29" i="17" s="1"/>
  <c r="M29" i="17" s="1"/>
  <c r="H30" i="17"/>
  <c r="H20" i="17"/>
  <c r="J20" i="17" s="1"/>
  <c r="M20" i="17" s="1"/>
  <c r="H5" i="17"/>
  <c r="J5" i="17" s="1"/>
  <c r="M5" i="17" s="1"/>
  <c r="H6" i="17"/>
  <c r="J6" i="17" s="1"/>
  <c r="M6" i="17" s="1"/>
  <c r="H17" i="17"/>
  <c r="H16" i="17"/>
  <c r="H15" i="17"/>
  <c r="H14" i="17"/>
  <c r="H13" i="17"/>
  <c r="J13" i="17" s="1"/>
  <c r="M13" i="17" s="1"/>
  <c r="H12" i="17"/>
  <c r="H7" i="17"/>
  <c r="J7" i="17" s="1"/>
  <c r="H8" i="17"/>
  <c r="H9" i="17"/>
  <c r="J9" i="17" s="1"/>
  <c r="M9" i="17" s="1"/>
  <c r="H10" i="17"/>
  <c r="H11" i="17"/>
  <c r="I9" i="17"/>
  <c r="I10" i="17"/>
  <c r="I11" i="17"/>
  <c r="I12" i="17"/>
  <c r="I14" i="17"/>
  <c r="I15" i="17"/>
  <c r="I16" i="17"/>
  <c r="I17" i="17"/>
  <c r="I8" i="17"/>
  <c r="G18" i="17"/>
  <c r="F18" i="17"/>
  <c r="F31" i="17"/>
  <c r="F36" i="17"/>
  <c r="I36" i="17"/>
  <c r="E36" i="17"/>
  <c r="E44" i="17"/>
  <c r="E31" i="17"/>
  <c r="E18" i="17"/>
  <c r="S171" i="16"/>
  <c r="R157" i="16"/>
  <c r="R165" i="16" s="1"/>
  <c r="R150" i="16"/>
  <c r="T165" i="16" s="1"/>
  <c r="R149" i="16"/>
  <c r="T164" i="16" s="1"/>
  <c r="Q148" i="16"/>
  <c r="R148" i="16" s="1"/>
  <c r="R163" i="16" s="1"/>
  <c r="Q141" i="16"/>
  <c r="S157" i="16" s="1"/>
  <c r="P141" i="16"/>
  <c r="O141" i="16"/>
  <c r="Q157" i="16" s="1"/>
  <c r="M141" i="16"/>
  <c r="D141" i="16"/>
  <c r="V140" i="16"/>
  <c r="R140" i="16"/>
  <c r="N140" i="16"/>
  <c r="G140" i="16"/>
  <c r="F140" i="16"/>
  <c r="H140" i="16" s="1"/>
  <c r="R139" i="16"/>
  <c r="N139" i="16"/>
  <c r="G139" i="16"/>
  <c r="F139" i="16"/>
  <c r="H139" i="16" s="1"/>
  <c r="R138" i="16"/>
  <c r="N138" i="16"/>
  <c r="G138" i="16"/>
  <c r="J138" i="16" s="1"/>
  <c r="K138" i="16" s="1"/>
  <c r="F138" i="16"/>
  <c r="H138" i="16" s="1"/>
  <c r="R137" i="16"/>
  <c r="N137" i="16"/>
  <c r="G137" i="16"/>
  <c r="F137" i="16"/>
  <c r="H137" i="16" s="1"/>
  <c r="R136" i="16"/>
  <c r="N136" i="16"/>
  <c r="G136" i="16"/>
  <c r="F136" i="16"/>
  <c r="H136" i="16" s="1"/>
  <c r="R135" i="16"/>
  <c r="R141" i="16" s="1"/>
  <c r="T157" i="16" s="1"/>
  <c r="N135" i="16"/>
  <c r="G135" i="16"/>
  <c r="F135" i="16"/>
  <c r="F141" i="16" s="1"/>
  <c r="Q133" i="16"/>
  <c r="S156" i="16" s="1"/>
  <c r="S164" i="16" s="1"/>
  <c r="P133" i="16"/>
  <c r="R156" i="16" s="1"/>
  <c r="R164" i="16" s="1"/>
  <c r="O133" i="16"/>
  <c r="Q156" i="16" s="1"/>
  <c r="M133" i="16"/>
  <c r="D133" i="16"/>
  <c r="W132" i="16"/>
  <c r="R132" i="16"/>
  <c r="N132" i="16"/>
  <c r="G132" i="16"/>
  <c r="F132" i="16"/>
  <c r="H132" i="16" s="1"/>
  <c r="R131" i="16"/>
  <c r="N131" i="16"/>
  <c r="G131" i="16"/>
  <c r="F131" i="16"/>
  <c r="H131" i="16" s="1"/>
  <c r="R128" i="16"/>
  <c r="T155" i="16" s="1"/>
  <c r="T163" i="16" s="1"/>
  <c r="Q128" i="16"/>
  <c r="S155" i="16" s="1"/>
  <c r="S163" i="16" s="1"/>
  <c r="O128" i="16"/>
  <c r="Q155" i="16" s="1"/>
  <c r="M128" i="16"/>
  <c r="D128" i="16"/>
  <c r="P127" i="16"/>
  <c r="N127" i="16"/>
  <c r="G127" i="16"/>
  <c r="F127" i="16"/>
  <c r="H127" i="16" s="1"/>
  <c r="J127" i="16" s="1"/>
  <c r="K127" i="16" s="1"/>
  <c r="V126" i="16"/>
  <c r="P126" i="16"/>
  <c r="N126" i="16"/>
  <c r="G126" i="16"/>
  <c r="F126" i="16"/>
  <c r="H126" i="16" s="1"/>
  <c r="J126" i="16" s="1"/>
  <c r="K126" i="16" s="1"/>
  <c r="P125" i="16"/>
  <c r="N125" i="16"/>
  <c r="G125" i="16"/>
  <c r="F125" i="16"/>
  <c r="H125" i="16" s="1"/>
  <c r="P124" i="16"/>
  <c r="N124" i="16"/>
  <c r="G124" i="16"/>
  <c r="F124" i="16"/>
  <c r="H124" i="16" s="1"/>
  <c r="J124" i="16" s="1"/>
  <c r="K124" i="16" s="1"/>
  <c r="P123" i="16"/>
  <c r="N123" i="16"/>
  <c r="G123" i="16"/>
  <c r="F123" i="16"/>
  <c r="H123" i="16" s="1"/>
  <c r="J123" i="16" s="1"/>
  <c r="K123" i="16" s="1"/>
  <c r="P122" i="16"/>
  <c r="N122" i="16"/>
  <c r="G122" i="16"/>
  <c r="F122" i="16"/>
  <c r="H122" i="16" s="1"/>
  <c r="P121" i="16"/>
  <c r="N121" i="16"/>
  <c r="G121" i="16"/>
  <c r="F121" i="16"/>
  <c r="H121" i="16" s="1"/>
  <c r="P120" i="16"/>
  <c r="N120" i="16"/>
  <c r="H120" i="16"/>
  <c r="G120" i="16"/>
  <c r="F120" i="16"/>
  <c r="P119" i="16"/>
  <c r="N119" i="16"/>
  <c r="H119" i="16"/>
  <c r="G119" i="16"/>
  <c r="F119" i="16"/>
  <c r="P118" i="16"/>
  <c r="N118" i="16"/>
  <c r="G118" i="16"/>
  <c r="F118" i="16"/>
  <c r="H118" i="16" s="1"/>
  <c r="P117" i="16"/>
  <c r="P128" i="16" s="1"/>
  <c r="R155" i="16" s="1"/>
  <c r="N117" i="16"/>
  <c r="N128" i="16" s="1"/>
  <c r="G117" i="16"/>
  <c r="F117" i="16"/>
  <c r="H117" i="16" s="1"/>
  <c r="R115" i="16"/>
  <c r="T154" i="16" s="1"/>
  <c r="T162" i="16" s="1"/>
  <c r="Q115" i="16"/>
  <c r="S154" i="16" s="1"/>
  <c r="S162" i="16" s="1"/>
  <c r="O115" i="16"/>
  <c r="Q154" i="16" s="1"/>
  <c r="M115" i="16"/>
  <c r="Q147" i="16" s="1"/>
  <c r="R147" i="16" s="1"/>
  <c r="R162" i="16" s="1"/>
  <c r="D115" i="16"/>
  <c r="D145" i="16" s="1"/>
  <c r="P114" i="16"/>
  <c r="N114" i="16"/>
  <c r="G114" i="16"/>
  <c r="F114" i="16"/>
  <c r="H114" i="16" s="1"/>
  <c r="J114" i="16" s="1"/>
  <c r="K114" i="16" s="1"/>
  <c r="P113" i="16"/>
  <c r="N113" i="16"/>
  <c r="G113" i="16"/>
  <c r="F113" i="16"/>
  <c r="H113" i="16" s="1"/>
  <c r="J113" i="16" s="1"/>
  <c r="K113" i="16" s="1"/>
  <c r="P112" i="16"/>
  <c r="N112" i="16"/>
  <c r="H112" i="16"/>
  <c r="G112" i="16"/>
  <c r="F112" i="16"/>
  <c r="P111" i="16"/>
  <c r="N111" i="16"/>
  <c r="G111" i="16"/>
  <c r="F111" i="16"/>
  <c r="H111" i="16" s="1"/>
  <c r="P110" i="16"/>
  <c r="N110" i="16"/>
  <c r="G110" i="16"/>
  <c r="F110" i="16"/>
  <c r="H110" i="16" s="1"/>
  <c r="P109" i="16"/>
  <c r="N109" i="16"/>
  <c r="G109" i="16"/>
  <c r="F109" i="16"/>
  <c r="H109" i="16" s="1"/>
  <c r="P108" i="16"/>
  <c r="N108" i="16"/>
  <c r="G108" i="16"/>
  <c r="F108" i="16"/>
  <c r="H108" i="16" s="1"/>
  <c r="AL107" i="16"/>
  <c r="AM113" i="16" s="1"/>
  <c r="P107" i="16"/>
  <c r="N107" i="16"/>
  <c r="G107" i="16"/>
  <c r="J107" i="16" s="1"/>
  <c r="K107" i="16" s="1"/>
  <c r="F107" i="16"/>
  <c r="H107" i="16" s="1"/>
  <c r="P106" i="16"/>
  <c r="N106" i="16"/>
  <c r="G106" i="16"/>
  <c r="F106" i="16"/>
  <c r="H106" i="16" s="1"/>
  <c r="P105" i="16"/>
  <c r="N105" i="16"/>
  <c r="G105" i="16"/>
  <c r="J105" i="16" s="1"/>
  <c r="K105" i="16" s="1"/>
  <c r="F105" i="16"/>
  <c r="H105" i="16" s="1"/>
  <c r="W104" i="16"/>
  <c r="P104" i="16"/>
  <c r="N104" i="16"/>
  <c r="G104" i="16"/>
  <c r="F104" i="16"/>
  <c r="H104" i="16" s="1"/>
  <c r="T103" i="16"/>
  <c r="W103" i="16" s="1"/>
  <c r="W105" i="16" s="1"/>
  <c r="P103" i="16"/>
  <c r="N103" i="16"/>
  <c r="H103" i="16"/>
  <c r="G103" i="16"/>
  <c r="F103" i="16"/>
  <c r="AL102" i="16"/>
  <c r="AL104" i="16" s="1"/>
  <c r="P102" i="16"/>
  <c r="N102" i="16"/>
  <c r="N115" i="16" s="1"/>
  <c r="G102" i="16"/>
  <c r="F102" i="16"/>
  <c r="H102" i="16" s="1"/>
  <c r="U99" i="16"/>
  <c r="M92" i="16"/>
  <c r="D92" i="16"/>
  <c r="U91" i="16"/>
  <c r="V91" i="16" s="1"/>
  <c r="N91" i="16"/>
  <c r="O91" i="16" s="1"/>
  <c r="G91" i="16"/>
  <c r="F91" i="16"/>
  <c r="H91" i="16" s="1"/>
  <c r="J91" i="16" s="1"/>
  <c r="K91" i="16" s="1"/>
  <c r="O90" i="16"/>
  <c r="N90" i="16"/>
  <c r="H90" i="16"/>
  <c r="G90" i="16"/>
  <c r="J90" i="16" s="1"/>
  <c r="K90" i="16" s="1"/>
  <c r="F90" i="16"/>
  <c r="N89" i="16"/>
  <c r="O89" i="16" s="1"/>
  <c r="H89" i="16"/>
  <c r="G89" i="16"/>
  <c r="F89" i="16"/>
  <c r="N88" i="16"/>
  <c r="O88" i="16" s="1"/>
  <c r="G88" i="16"/>
  <c r="F88" i="16"/>
  <c r="H88" i="16" s="1"/>
  <c r="N87" i="16"/>
  <c r="O87" i="16" s="1"/>
  <c r="G87" i="16"/>
  <c r="F87" i="16"/>
  <c r="H87" i="16" s="1"/>
  <c r="J87" i="16" s="1"/>
  <c r="K87" i="16" s="1"/>
  <c r="N86" i="16"/>
  <c r="N92" i="16" s="1"/>
  <c r="H86" i="16"/>
  <c r="G86" i="16"/>
  <c r="J86" i="16" s="1"/>
  <c r="K86" i="16" s="1"/>
  <c r="F86" i="16"/>
  <c r="M85" i="16"/>
  <c r="D85" i="16"/>
  <c r="O84" i="16"/>
  <c r="N84" i="16"/>
  <c r="H84" i="16"/>
  <c r="G84" i="16"/>
  <c r="J84" i="16" s="1"/>
  <c r="K84" i="16" s="1"/>
  <c r="F84" i="16"/>
  <c r="N83" i="16"/>
  <c r="N85" i="16" s="1"/>
  <c r="H83" i="16"/>
  <c r="G83" i="16"/>
  <c r="F83" i="16"/>
  <c r="M81" i="16"/>
  <c r="D81" i="16"/>
  <c r="N80" i="16"/>
  <c r="O80" i="16" s="1"/>
  <c r="G80" i="16"/>
  <c r="J80" i="16" s="1"/>
  <c r="K80" i="16" s="1"/>
  <c r="F80" i="16"/>
  <c r="H80" i="16" s="1"/>
  <c r="N79" i="16"/>
  <c r="O79" i="16" s="1"/>
  <c r="G79" i="16"/>
  <c r="F79" i="16"/>
  <c r="H79" i="16" s="1"/>
  <c r="T78" i="16"/>
  <c r="N78" i="16"/>
  <c r="O78" i="16" s="1"/>
  <c r="G78" i="16"/>
  <c r="F78" i="16"/>
  <c r="H78" i="16" s="1"/>
  <c r="N77" i="16"/>
  <c r="O77" i="16" s="1"/>
  <c r="G77" i="16"/>
  <c r="F77" i="16"/>
  <c r="H77" i="16" s="1"/>
  <c r="O76" i="16"/>
  <c r="N76" i="16"/>
  <c r="G76" i="16"/>
  <c r="F76" i="16"/>
  <c r="H76" i="16" s="1"/>
  <c r="J76" i="16" s="1"/>
  <c r="K76" i="16" s="1"/>
  <c r="N75" i="16"/>
  <c r="O75" i="16" s="1"/>
  <c r="G75" i="16"/>
  <c r="F75" i="16"/>
  <c r="H75" i="16" s="1"/>
  <c r="N74" i="16"/>
  <c r="O74" i="16" s="1"/>
  <c r="G74" i="16"/>
  <c r="J74" i="16" s="1"/>
  <c r="K74" i="16" s="1"/>
  <c r="F74" i="16"/>
  <c r="H74" i="16" s="1"/>
  <c r="N73" i="16"/>
  <c r="O73" i="16" s="1"/>
  <c r="G73" i="16"/>
  <c r="F73" i="16"/>
  <c r="O72" i="16"/>
  <c r="N72" i="16"/>
  <c r="H72" i="16"/>
  <c r="G72" i="16"/>
  <c r="F72" i="16"/>
  <c r="O71" i="16"/>
  <c r="N71" i="16"/>
  <c r="G71" i="16"/>
  <c r="F71" i="16"/>
  <c r="H71" i="16" s="1"/>
  <c r="N70" i="16"/>
  <c r="N81" i="16" s="1"/>
  <c r="G70" i="16"/>
  <c r="J70" i="16" s="1"/>
  <c r="K70" i="16" s="1"/>
  <c r="F70" i="16"/>
  <c r="H70" i="16" s="1"/>
  <c r="U69" i="16"/>
  <c r="V69" i="16" s="1"/>
  <c r="M69" i="16"/>
  <c r="D69" i="16"/>
  <c r="V68" i="16"/>
  <c r="G68" i="16"/>
  <c r="F68" i="16"/>
  <c r="H68" i="16" s="1"/>
  <c r="G67" i="16"/>
  <c r="F67" i="16"/>
  <c r="H67" i="16" s="1"/>
  <c r="J67" i="16" s="1"/>
  <c r="K67" i="16" s="1"/>
  <c r="G66" i="16"/>
  <c r="F66" i="16"/>
  <c r="H66" i="16" s="1"/>
  <c r="T65" i="16"/>
  <c r="G65" i="16"/>
  <c r="F65" i="16"/>
  <c r="H65" i="16" s="1"/>
  <c r="J65" i="16" s="1"/>
  <c r="K65" i="16" s="1"/>
  <c r="AI64" i="16"/>
  <c r="G64" i="16"/>
  <c r="F64" i="16"/>
  <c r="H64" i="16" s="1"/>
  <c r="T63" i="16"/>
  <c r="G63" i="16"/>
  <c r="F63" i="16"/>
  <c r="H63" i="16" s="1"/>
  <c r="T62" i="16"/>
  <c r="G62" i="16"/>
  <c r="F62" i="16"/>
  <c r="H62" i="16" s="1"/>
  <c r="V61" i="16"/>
  <c r="U61" i="16"/>
  <c r="S61" i="16"/>
  <c r="G61" i="16"/>
  <c r="F61" i="16"/>
  <c r="H61" i="16" s="1"/>
  <c r="U60" i="16"/>
  <c r="V60" i="16" s="1"/>
  <c r="S60" i="16"/>
  <c r="S63" i="16" s="1"/>
  <c r="H60" i="16"/>
  <c r="G60" i="16"/>
  <c r="J60" i="16" s="1"/>
  <c r="K60" i="16" s="1"/>
  <c r="F60" i="16"/>
  <c r="U59" i="16"/>
  <c r="V59" i="16" s="1"/>
  <c r="S59" i="16"/>
  <c r="S65" i="16" s="1"/>
  <c r="L59" i="16"/>
  <c r="G59" i="16"/>
  <c r="F59" i="16"/>
  <c r="H59" i="16" s="1"/>
  <c r="U58" i="16"/>
  <c r="V58" i="16" s="1"/>
  <c r="S58" i="16"/>
  <c r="G58" i="16"/>
  <c r="F58" i="16"/>
  <c r="H58" i="16" s="1"/>
  <c r="J58" i="16" s="1"/>
  <c r="K58" i="16" s="1"/>
  <c r="H57" i="16"/>
  <c r="J57" i="16" s="1"/>
  <c r="K57" i="16" s="1"/>
  <c r="G57" i="16"/>
  <c r="F57" i="16"/>
  <c r="G56" i="16"/>
  <c r="F56" i="16"/>
  <c r="H56" i="16" s="1"/>
  <c r="A47" i="16"/>
  <c r="A46" i="16"/>
  <c r="O44" i="16"/>
  <c r="D44" i="16"/>
  <c r="N43" i="16"/>
  <c r="G43" i="16"/>
  <c r="F43" i="16"/>
  <c r="H43" i="16" s="1"/>
  <c r="J43" i="16" s="1"/>
  <c r="K43" i="16" s="1"/>
  <c r="M43" i="16" s="1"/>
  <c r="N42" i="16"/>
  <c r="G42" i="16"/>
  <c r="F42" i="16"/>
  <c r="H42" i="16" s="1"/>
  <c r="J42" i="16" s="1"/>
  <c r="K42" i="16" s="1"/>
  <c r="M42" i="16" s="1"/>
  <c r="N41" i="16"/>
  <c r="G41" i="16"/>
  <c r="F41" i="16"/>
  <c r="H41" i="16" s="1"/>
  <c r="N40" i="16"/>
  <c r="G40" i="16"/>
  <c r="J40" i="16" s="1"/>
  <c r="K40" i="16" s="1"/>
  <c r="M40" i="16" s="1"/>
  <c r="F40" i="16"/>
  <c r="H40" i="16" s="1"/>
  <c r="N39" i="16"/>
  <c r="G39" i="16"/>
  <c r="F39" i="16"/>
  <c r="H39" i="16" s="1"/>
  <c r="J39" i="16" s="1"/>
  <c r="K39" i="16" s="1"/>
  <c r="M39" i="16" s="1"/>
  <c r="N38" i="16"/>
  <c r="H38" i="16"/>
  <c r="G38" i="16"/>
  <c r="F38" i="16"/>
  <c r="O37" i="16"/>
  <c r="N37" i="16"/>
  <c r="D37" i="16"/>
  <c r="N36" i="16"/>
  <c r="H36" i="16"/>
  <c r="G36" i="16"/>
  <c r="J36" i="16" s="1"/>
  <c r="K36" i="16" s="1"/>
  <c r="M36" i="16" s="1"/>
  <c r="F36" i="16"/>
  <c r="N35" i="16"/>
  <c r="H35" i="16"/>
  <c r="G35" i="16"/>
  <c r="F35" i="16"/>
  <c r="O33" i="16"/>
  <c r="D33" i="16"/>
  <c r="N32" i="16"/>
  <c r="G32" i="16"/>
  <c r="F32" i="16"/>
  <c r="H32" i="16" s="1"/>
  <c r="N31" i="16"/>
  <c r="G31" i="16"/>
  <c r="F31" i="16"/>
  <c r="H31" i="16" s="1"/>
  <c r="N30" i="16"/>
  <c r="G30" i="16"/>
  <c r="F30" i="16"/>
  <c r="H30" i="16" s="1"/>
  <c r="N29" i="16"/>
  <c r="G29" i="16"/>
  <c r="F29" i="16"/>
  <c r="H29" i="16" s="1"/>
  <c r="J29" i="16" s="1"/>
  <c r="K29" i="16" s="1"/>
  <c r="M29" i="16" s="1"/>
  <c r="N28" i="16"/>
  <c r="H28" i="16"/>
  <c r="G28" i="16"/>
  <c r="F28" i="16"/>
  <c r="N27" i="16"/>
  <c r="G27" i="16"/>
  <c r="F27" i="16"/>
  <c r="H27" i="16" s="1"/>
  <c r="N26" i="16"/>
  <c r="G26" i="16"/>
  <c r="F26" i="16"/>
  <c r="H26" i="16" s="1"/>
  <c r="J26" i="16" s="1"/>
  <c r="K26" i="16" s="1"/>
  <c r="M26" i="16" s="1"/>
  <c r="N25" i="16"/>
  <c r="H25" i="16"/>
  <c r="G25" i="16"/>
  <c r="F25" i="16"/>
  <c r="N24" i="16"/>
  <c r="G24" i="16"/>
  <c r="F24" i="16"/>
  <c r="H24" i="16" s="1"/>
  <c r="N23" i="16"/>
  <c r="G23" i="16"/>
  <c r="F23" i="16"/>
  <c r="H23" i="16" s="1"/>
  <c r="J23" i="16" s="1"/>
  <c r="K23" i="16" s="1"/>
  <c r="M23" i="16" s="1"/>
  <c r="N22" i="16"/>
  <c r="G22" i="16"/>
  <c r="F22" i="16"/>
  <c r="H22" i="16" s="1"/>
  <c r="J22" i="16" s="1"/>
  <c r="K22" i="16" s="1"/>
  <c r="M22" i="16" s="1"/>
  <c r="O21" i="16"/>
  <c r="R21" i="16" s="1"/>
  <c r="S21" i="16" s="1"/>
  <c r="D21" i="16"/>
  <c r="N20" i="16"/>
  <c r="N68" i="16" s="1"/>
  <c r="O68" i="16" s="1"/>
  <c r="H20" i="16"/>
  <c r="G20" i="16"/>
  <c r="F20" i="16"/>
  <c r="N19" i="16"/>
  <c r="N67" i="16" s="1"/>
  <c r="O67" i="16" s="1"/>
  <c r="G19" i="16"/>
  <c r="F19" i="16"/>
  <c r="H19" i="16" s="1"/>
  <c r="N18" i="16"/>
  <c r="N66" i="16" s="1"/>
  <c r="O66" i="16" s="1"/>
  <c r="G18" i="16"/>
  <c r="F18" i="16"/>
  <c r="H18" i="16" s="1"/>
  <c r="J18" i="16" s="1"/>
  <c r="K18" i="16" s="1"/>
  <c r="M18" i="16" s="1"/>
  <c r="N17" i="16"/>
  <c r="N65" i="16" s="1"/>
  <c r="O65" i="16" s="1"/>
  <c r="G17" i="16"/>
  <c r="F17" i="16"/>
  <c r="H17" i="16" s="1"/>
  <c r="J17" i="16" s="1"/>
  <c r="K17" i="16" s="1"/>
  <c r="M17" i="16" s="1"/>
  <c r="N16" i="16"/>
  <c r="G16" i="16"/>
  <c r="F16" i="16"/>
  <c r="H16" i="16" s="1"/>
  <c r="N15" i="16"/>
  <c r="N63" i="16" s="1"/>
  <c r="O63" i="16" s="1"/>
  <c r="G15" i="16"/>
  <c r="F15" i="16"/>
  <c r="H15" i="16" s="1"/>
  <c r="J15" i="16" s="1"/>
  <c r="K15" i="16" s="1"/>
  <c r="M15" i="16" s="1"/>
  <c r="N14" i="16"/>
  <c r="N62" i="16" s="1"/>
  <c r="O62" i="16" s="1"/>
  <c r="H14" i="16"/>
  <c r="J14" i="16" s="1"/>
  <c r="K14" i="16" s="1"/>
  <c r="M14" i="16" s="1"/>
  <c r="G14" i="16"/>
  <c r="F14" i="16"/>
  <c r="N13" i="16"/>
  <c r="N61" i="16" s="1"/>
  <c r="O61" i="16" s="1"/>
  <c r="G13" i="16"/>
  <c r="F13" i="16"/>
  <c r="H13" i="16" s="1"/>
  <c r="N12" i="16"/>
  <c r="N60" i="16" s="1"/>
  <c r="O60" i="16" s="1"/>
  <c r="G12" i="16"/>
  <c r="F12" i="16"/>
  <c r="N11" i="16"/>
  <c r="N59" i="16" s="1"/>
  <c r="O59" i="16" s="1"/>
  <c r="G11" i="16"/>
  <c r="F11" i="16"/>
  <c r="H11" i="16" s="1"/>
  <c r="AQ10" i="16"/>
  <c r="N10" i="16"/>
  <c r="N58" i="16" s="1"/>
  <c r="O58" i="16" s="1"/>
  <c r="G10" i="16"/>
  <c r="J10" i="16" s="1"/>
  <c r="K10" i="16" s="1"/>
  <c r="M10" i="16" s="1"/>
  <c r="F10" i="16"/>
  <c r="H10" i="16" s="1"/>
  <c r="AQ9" i="16"/>
  <c r="N9" i="16"/>
  <c r="N57" i="16" s="1"/>
  <c r="O57" i="16" s="1"/>
  <c r="G9" i="16"/>
  <c r="F9" i="16"/>
  <c r="H9" i="16" s="1"/>
  <c r="AQ8" i="16"/>
  <c r="N8" i="16"/>
  <c r="N56" i="16" s="1"/>
  <c r="O56" i="16" s="1"/>
  <c r="G8" i="16"/>
  <c r="J8" i="16" s="1"/>
  <c r="K8" i="16" s="1"/>
  <c r="M8" i="16" s="1"/>
  <c r="F8" i="16"/>
  <c r="H8" i="16" s="1"/>
  <c r="AQ7" i="16"/>
  <c r="J13" i="16" l="1"/>
  <c r="K13" i="16" s="1"/>
  <c r="M13" i="16" s="1"/>
  <c r="N10" i="17"/>
  <c r="N27" i="17"/>
  <c r="N25" i="17"/>
  <c r="N20" i="17"/>
  <c r="N29" i="17"/>
  <c r="J66" i="16"/>
  <c r="K66" i="16" s="1"/>
  <c r="N5" i="17"/>
  <c r="N13" i="17"/>
  <c r="N30" i="17"/>
  <c r="N6" i="17"/>
  <c r="N23" i="17"/>
  <c r="J24" i="16"/>
  <c r="K24" i="16" s="1"/>
  <c r="M24" i="16" s="1"/>
  <c r="J41" i="16"/>
  <c r="K41" i="16" s="1"/>
  <c r="M41" i="16" s="1"/>
  <c r="M44" i="16" s="1"/>
  <c r="J9" i="16"/>
  <c r="K9" i="16" s="1"/>
  <c r="M9" i="16" s="1"/>
  <c r="M21" i="16" s="1"/>
  <c r="J11" i="16"/>
  <c r="K11" i="16" s="1"/>
  <c r="M11" i="16" s="1"/>
  <c r="J31" i="16"/>
  <c r="K31" i="16" s="1"/>
  <c r="M31" i="16" s="1"/>
  <c r="F37" i="16"/>
  <c r="S64" i="16"/>
  <c r="S62" i="16"/>
  <c r="J64" i="16"/>
  <c r="K64" i="16" s="1"/>
  <c r="T79" i="16"/>
  <c r="J71" i="16"/>
  <c r="K71" i="16" s="1"/>
  <c r="F81" i="16"/>
  <c r="J77" i="16"/>
  <c r="K77" i="16" s="1"/>
  <c r="F85" i="16"/>
  <c r="O86" i="16"/>
  <c r="J106" i="16"/>
  <c r="K106" i="16" s="1"/>
  <c r="J118" i="16"/>
  <c r="K118" i="16" s="1"/>
  <c r="N133" i="16"/>
  <c r="J137" i="16"/>
  <c r="K137" i="16" s="1"/>
  <c r="J139" i="16"/>
  <c r="K139" i="16" s="1"/>
  <c r="J15" i="17"/>
  <c r="M15" i="17" s="1"/>
  <c r="N15" i="17" s="1"/>
  <c r="J19" i="16"/>
  <c r="K19" i="16" s="1"/>
  <c r="M19" i="16" s="1"/>
  <c r="J20" i="16"/>
  <c r="K20" i="16" s="1"/>
  <c r="M20" i="16" s="1"/>
  <c r="N33" i="16"/>
  <c r="J35" i="16"/>
  <c r="K35" i="16" s="1"/>
  <c r="M35" i="16" s="1"/>
  <c r="M37" i="16" s="1"/>
  <c r="J83" i="16"/>
  <c r="K83" i="16" s="1"/>
  <c r="U86" i="16"/>
  <c r="U90" i="16" s="1"/>
  <c r="V90" i="16" s="1"/>
  <c r="J89" i="16"/>
  <c r="K89" i="16" s="1"/>
  <c r="J103" i="16"/>
  <c r="K103" i="16" s="1"/>
  <c r="J112" i="16"/>
  <c r="K112" i="16" s="1"/>
  <c r="J120" i="16"/>
  <c r="K120" i="16" s="1"/>
  <c r="J125" i="16"/>
  <c r="K125" i="16" s="1"/>
  <c r="R133" i="16"/>
  <c r="N141" i="16"/>
  <c r="AL108" i="16"/>
  <c r="AL114" i="16" s="1"/>
  <c r="AL115" i="16" s="1"/>
  <c r="J10" i="17"/>
  <c r="M10" i="17" s="1"/>
  <c r="J16" i="17"/>
  <c r="M16" i="17" s="1"/>
  <c r="N16" i="17" s="1"/>
  <c r="J12" i="16"/>
  <c r="K12" i="16" s="1"/>
  <c r="M12" i="16" s="1"/>
  <c r="J16" i="16"/>
  <c r="K16" i="16" s="1"/>
  <c r="M16" i="16" s="1"/>
  <c r="J25" i="16"/>
  <c r="K25" i="16" s="1"/>
  <c r="M25" i="16" s="1"/>
  <c r="J32" i="16"/>
  <c r="K32" i="16" s="1"/>
  <c r="M32" i="16" s="1"/>
  <c r="J59" i="16"/>
  <c r="K59" i="16" s="1"/>
  <c r="J102" i="16"/>
  <c r="K102" i="16" s="1"/>
  <c r="J117" i="16"/>
  <c r="K117" i="16" s="1"/>
  <c r="J122" i="16"/>
  <c r="K122" i="16" s="1"/>
  <c r="J136" i="16"/>
  <c r="K136" i="16" s="1"/>
  <c r="J140" i="16"/>
  <c r="K140" i="16" s="1"/>
  <c r="J8" i="17"/>
  <c r="M8" i="17" s="1"/>
  <c r="N8" i="17" s="1"/>
  <c r="N21" i="16"/>
  <c r="F21" i="16"/>
  <c r="H12" i="16"/>
  <c r="J28" i="16"/>
  <c r="K28" i="16" s="1"/>
  <c r="M28" i="16" s="1"/>
  <c r="J30" i="16"/>
  <c r="K30" i="16" s="1"/>
  <c r="M30" i="16" s="1"/>
  <c r="F44" i="16"/>
  <c r="J72" i="16"/>
  <c r="K72" i="16" s="1"/>
  <c r="F92" i="16"/>
  <c r="J119" i="16"/>
  <c r="K119" i="16" s="1"/>
  <c r="U133" i="16"/>
  <c r="U139" i="16" s="1"/>
  <c r="F33" i="16"/>
  <c r="J38" i="16"/>
  <c r="K38" i="16" s="1"/>
  <c r="M38" i="16" s="1"/>
  <c r="F69" i="16"/>
  <c r="J62" i="16"/>
  <c r="K62" i="16" s="1"/>
  <c r="O70" i="16"/>
  <c r="J88" i="16"/>
  <c r="K88" i="16" s="1"/>
  <c r="P115" i="16"/>
  <c r="R154" i="16" s="1"/>
  <c r="J121" i="16"/>
  <c r="K121" i="16" s="1"/>
  <c r="J30" i="17"/>
  <c r="M30" i="17" s="1"/>
  <c r="J22" i="17"/>
  <c r="M22" i="17" s="1"/>
  <c r="N22" i="17" s="1"/>
  <c r="L31" i="17"/>
  <c r="N21" i="17"/>
  <c r="N44" i="16"/>
  <c r="J56" i="16"/>
  <c r="K56" i="16" s="1"/>
  <c r="J75" i="16"/>
  <c r="K75" i="16" s="1"/>
  <c r="H135" i="16"/>
  <c r="J135" i="16" s="1"/>
  <c r="K135" i="16" s="1"/>
  <c r="L18" i="17"/>
  <c r="J12" i="17"/>
  <c r="M12" i="17" s="1"/>
  <c r="N12" i="17" s="1"/>
  <c r="J28" i="17"/>
  <c r="M28" i="17" s="1"/>
  <c r="N28" i="17" s="1"/>
  <c r="J14" i="17"/>
  <c r="M14" i="17" s="1"/>
  <c r="N14" i="17" s="1"/>
  <c r="J27" i="17"/>
  <c r="M27" i="17" s="1"/>
  <c r="J11" i="17"/>
  <c r="M11" i="17" s="1"/>
  <c r="N11" i="17" s="1"/>
  <c r="J26" i="17"/>
  <c r="M26" i="17" s="1"/>
  <c r="N26" i="17" s="1"/>
  <c r="J36" i="17"/>
  <c r="J25" i="17"/>
  <c r="M25" i="17" s="1"/>
  <c r="M31" i="17" s="1"/>
  <c r="H18" i="17"/>
  <c r="J17" i="17"/>
  <c r="M17" i="17" s="1"/>
  <c r="N17" i="17" s="1"/>
  <c r="I31" i="17"/>
  <c r="I18" i="17"/>
  <c r="J104" i="16"/>
  <c r="K104" i="16" s="1"/>
  <c r="J131" i="16"/>
  <c r="K131" i="16" s="1"/>
  <c r="M33" i="16"/>
  <c r="J61" i="16"/>
  <c r="K61" i="16" s="1"/>
  <c r="J79" i="16"/>
  <c r="K79" i="16" s="1"/>
  <c r="J108" i="16"/>
  <c r="K108" i="16" s="1"/>
  <c r="J110" i="16"/>
  <c r="K110" i="16" s="1"/>
  <c r="T156" i="16"/>
  <c r="W107" i="16"/>
  <c r="W109" i="16" s="1"/>
  <c r="J27" i="16"/>
  <c r="K27" i="16" s="1"/>
  <c r="M27" i="16" s="1"/>
  <c r="J63" i="16"/>
  <c r="K63" i="16" s="1"/>
  <c r="J132" i="16"/>
  <c r="K132" i="16" s="1"/>
  <c r="J68" i="16"/>
  <c r="K68" i="16" s="1"/>
  <c r="P92" i="16"/>
  <c r="S70" i="16"/>
  <c r="J78" i="16"/>
  <c r="K78" i="16" s="1"/>
  <c r="J109" i="16"/>
  <c r="K109" i="16" s="1"/>
  <c r="J111" i="16"/>
  <c r="K111" i="16" s="1"/>
  <c r="N64" i="16"/>
  <c r="O64" i="16" s="1"/>
  <c r="U132" i="16"/>
  <c r="H73" i="16"/>
  <c r="J73" i="16" s="1"/>
  <c r="K73" i="16" s="1"/>
  <c r="U124" i="16"/>
  <c r="O83" i="16"/>
  <c r="U120" i="16"/>
  <c r="U125" i="16" s="1"/>
  <c r="N18" i="17" l="1"/>
  <c r="N31" i="17"/>
  <c r="U119" i="16"/>
  <c r="M18" i="17"/>
  <c r="U87" i="16"/>
  <c r="V87" i="16" s="1"/>
  <c r="J18" i="17"/>
  <c r="V86" i="16"/>
  <c r="N69" i="16"/>
  <c r="U126" i="16"/>
  <c r="AJ86" i="16" s="1"/>
  <c r="U121" i="16"/>
  <c r="U134" i="16"/>
  <c r="V132" i="16"/>
  <c r="U138" i="16"/>
  <c r="U140" i="16" l="1"/>
  <c r="V139" i="16"/>
  <c r="V138" i="16"/>
  <c r="AJ90" i="16"/>
  <c r="AK90" i="16" s="1"/>
  <c r="AJ87" i="16"/>
  <c r="AK86" i="16"/>
  <c r="S69" i="16"/>
  <c r="P85" i="16"/>
  <c r="AK87" i="16" l="1"/>
  <c r="AJ91" i="16"/>
  <c r="AK91" i="16" s="1"/>
  <c r="N17" i="9" l="1"/>
  <c r="E17" i="14"/>
  <c r="F10" i="14"/>
  <c r="F8" i="14"/>
  <c r="F7" i="14"/>
  <c r="F6" i="14"/>
  <c r="D5" i="14"/>
  <c r="F5" i="14" s="1"/>
  <c r="F3" i="14" l="1"/>
  <c r="F9" i="14"/>
  <c r="F12" i="14" l="1"/>
  <c r="F16" i="9" l="1"/>
  <c r="F15" i="9"/>
  <c r="F14" i="9"/>
  <c r="F13" i="9"/>
  <c r="F12" i="9"/>
  <c r="F11" i="9"/>
  <c r="F10" i="9"/>
  <c r="F9" i="9"/>
  <c r="F8" i="9"/>
  <c r="F7" i="9"/>
  <c r="F6" i="9"/>
  <c r="F5" i="9"/>
  <c r="F4" i="9"/>
  <c r="F45" i="8"/>
  <c r="F46" i="8" s="1"/>
  <c r="H46" i="8"/>
  <c r="E19" i="8"/>
  <c r="E45" i="8"/>
  <c r="F37" i="8"/>
  <c r="E37" i="8"/>
  <c r="F32" i="8"/>
  <c r="J19" i="8"/>
  <c r="J46" i="8" s="1"/>
  <c r="I19" i="8"/>
  <c r="I46" i="8" s="1"/>
  <c r="G19" i="8"/>
  <c r="G46" i="8" s="1"/>
  <c r="F19" i="8"/>
  <c r="E46" i="8" l="1"/>
  <c r="M17" i="9" l="1"/>
  <c r="L5" i="9"/>
  <c r="M5" i="9" s="1"/>
  <c r="L6" i="9"/>
  <c r="M6" i="9" s="1"/>
  <c r="L7" i="9"/>
  <c r="M7" i="9" s="1"/>
  <c r="L8" i="9"/>
  <c r="M8" i="9" s="1"/>
  <c r="L9" i="9"/>
  <c r="M9" i="9" s="1"/>
  <c r="L10" i="9"/>
  <c r="M10" i="9" s="1"/>
  <c r="L11" i="9"/>
  <c r="M11" i="9" s="1"/>
  <c r="L12" i="9"/>
  <c r="M12" i="9" s="1"/>
  <c r="L13" i="9"/>
  <c r="M13" i="9" s="1"/>
  <c r="L14" i="9"/>
  <c r="M14" i="9" s="1"/>
  <c r="L15" i="9"/>
  <c r="M15" i="9" s="1"/>
  <c r="L16" i="9"/>
  <c r="M16" i="9" s="1"/>
  <c r="L18" i="9"/>
  <c r="M18" i="9" s="1"/>
  <c r="L19" i="9"/>
  <c r="M19" i="9" s="1"/>
  <c r="L4" i="9"/>
  <c r="M4" i="9" s="1"/>
  <c r="M3" i="9" l="1"/>
  <c r="D16" i="14" s="1"/>
  <c r="L17" i="9"/>
  <c r="L3" i="9"/>
  <c r="F16" i="14" l="1"/>
  <c r="F17" i="14"/>
  <c r="F15" i="14" l="1"/>
  <c r="F24" i="14" s="1"/>
  <c r="F25" i="14" s="1"/>
  <c r="F18" i="14"/>
  <c r="F19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Quang</author>
  </authors>
  <commentList>
    <comment ref="E5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Quang:</t>
        </r>
        <r>
          <rPr>
            <sz val="9"/>
            <color indexed="81"/>
            <rFont val="Tahoma"/>
            <family val="2"/>
          </rPr>
          <t xml:space="preserve">
1 xe điện
1 xe hết hạn 2027
</t>
        </r>
      </text>
    </comment>
    <comment ref="V5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Quang:</t>
        </r>
        <r>
          <rPr>
            <sz val="9"/>
            <color indexed="81"/>
            <rFont val="Tahoma"/>
            <family val="2"/>
          </rPr>
          <t xml:space="preserve">
1 xe điện
1 xe hết hạn 2027
</t>
        </r>
      </text>
    </comment>
    <comment ref="E6" authorId="0" shapeId="0" xr:uid="{00000000-0006-0000-0600-000003000000}">
      <text>
        <r>
          <rPr>
            <b/>
            <sz val="9"/>
            <color indexed="81"/>
            <rFont val="Tahoma"/>
            <family val="2"/>
          </rPr>
          <t>Quang:</t>
        </r>
        <r>
          <rPr>
            <sz val="9"/>
            <color indexed="81"/>
            <rFont val="Tahoma"/>
            <family val="2"/>
          </rPr>
          <t xml:space="preserve">
1 xe điện
1 xe hết hạn 2027</t>
        </r>
      </text>
    </comment>
    <comment ref="V6" authorId="0" shapeId="0" xr:uid="{00000000-0006-0000-0600-000004000000}">
      <text>
        <r>
          <rPr>
            <b/>
            <sz val="9"/>
            <color indexed="81"/>
            <rFont val="Tahoma"/>
            <family val="2"/>
          </rPr>
          <t>Quang:</t>
        </r>
        <r>
          <rPr>
            <sz val="9"/>
            <color indexed="81"/>
            <rFont val="Tahoma"/>
            <family val="2"/>
          </rPr>
          <t xml:space="preserve">
1 xe điện
1 xe hết hạn 2027</t>
        </r>
      </text>
    </comment>
    <comment ref="E13" authorId="0" shapeId="0" xr:uid="{00000000-0006-0000-0600-000005000000}">
      <text>
        <r>
          <rPr>
            <b/>
            <sz val="9"/>
            <color indexed="81"/>
            <rFont val="Tahoma"/>
            <family val="2"/>
          </rPr>
          <t>Quang:</t>
        </r>
        <r>
          <rPr>
            <sz val="9"/>
            <color indexed="81"/>
            <rFont val="Tahoma"/>
            <family val="2"/>
          </rPr>
          <t xml:space="preserve">
Hết hạn 2029
</t>
        </r>
      </text>
    </comment>
    <comment ref="V13" authorId="0" shapeId="0" xr:uid="{00000000-0006-0000-0600-000006000000}">
      <text>
        <r>
          <rPr>
            <b/>
            <sz val="9"/>
            <color indexed="81"/>
            <rFont val="Tahoma"/>
            <family val="2"/>
          </rPr>
          <t>Quang:</t>
        </r>
        <r>
          <rPr>
            <sz val="9"/>
            <color indexed="81"/>
            <rFont val="Tahoma"/>
            <family val="2"/>
          </rPr>
          <t xml:space="preserve">
Hết hạn 2029
</t>
        </r>
      </text>
    </comment>
    <comment ref="E23" authorId="0" shapeId="0" xr:uid="{00000000-0006-0000-0600-000007000000}">
      <text>
        <r>
          <rPr>
            <b/>
            <sz val="9"/>
            <color indexed="81"/>
            <rFont val="Tahoma"/>
            <family val="2"/>
          </rPr>
          <t>Quang:</t>
        </r>
        <r>
          <rPr>
            <sz val="9"/>
            <color indexed="81"/>
            <rFont val="Tahoma"/>
            <family val="2"/>
          </rPr>
          <t xml:space="preserve">
2 xe này sẽ hết niên hạn vào 2035
</t>
        </r>
      </text>
    </comment>
    <comment ref="V23" authorId="0" shapeId="0" xr:uid="{00000000-0006-0000-0600-000008000000}">
      <text>
        <r>
          <rPr>
            <b/>
            <sz val="9"/>
            <color indexed="81"/>
            <rFont val="Tahoma"/>
            <family val="2"/>
          </rPr>
          <t>Quang:</t>
        </r>
        <r>
          <rPr>
            <sz val="9"/>
            <color indexed="81"/>
            <rFont val="Tahoma"/>
            <family val="2"/>
          </rPr>
          <t xml:space="preserve">
2 xe này sẽ hết niên hạn vào 2035
</t>
        </r>
      </text>
    </comment>
  </commentList>
</comments>
</file>

<file path=xl/sharedStrings.xml><?xml version="1.0" encoding="utf-8"?>
<sst xmlns="http://schemas.openxmlformats.org/spreadsheetml/2006/main" count="947" uniqueCount="299">
  <si>
    <t>STT</t>
  </si>
  <si>
    <t>Hạng mục công việc</t>
  </si>
  <si>
    <t>Đơn vị</t>
  </si>
  <si>
    <t xml:space="preserve">Đơn giá (triệu đồng)  </t>
  </si>
  <si>
    <t xml:space="preserve">Thành tiền (triệu đồng)  </t>
  </si>
  <si>
    <t>Đầu tư cơ sở hạ tầng phục vụ VTHKCC bằng xe buýt</t>
  </si>
  <si>
    <t>Điểm</t>
  </si>
  <si>
    <t>Nhà chờ</t>
  </si>
  <si>
    <t>Xe buýt điện nhỏ</t>
  </si>
  <si>
    <t>xe</t>
  </si>
  <si>
    <t>II.</t>
  </si>
  <si>
    <t>I.</t>
  </si>
  <si>
    <t>Đổi mới đoàn phương tiện xe buýt hiện hữu sang xe buýt điện</t>
  </si>
  <si>
    <t>Cải tạo hệ thống nhà chờ, điểm dừng đỗ (hiện có)</t>
  </si>
  <si>
    <t>m2</t>
  </si>
  <si>
    <t>Xây dựng hệ thống nhà chờ, điểm dừng đỗ dọc tuyến (mới)</t>
  </si>
  <si>
    <t>a</t>
  </si>
  <si>
    <t>b</t>
  </si>
  <si>
    <t>Điểm dừng</t>
  </si>
  <si>
    <t>A</t>
  </si>
  <si>
    <t>B</t>
  </si>
  <si>
    <t>Khối lượng/Số lượng</t>
  </si>
  <si>
    <t>Diễn giải</t>
  </si>
  <si>
    <t>Dựa theo báo giá xe buýt điện nhỏ của nhà sản xuất CTCP Kim Long Motor Huế</t>
  </si>
  <si>
    <t>I</t>
  </si>
  <si>
    <t>Hỗ trợ lãi suất vay vốn đầu tư CSHT điểm đầu cuối phục vụ xe buýt</t>
  </si>
  <si>
    <t>II</t>
  </si>
  <si>
    <t>Mã số tuyến</t>
  </si>
  <si>
    <t>Tên tuyến</t>
  </si>
  <si>
    <t>Cự ly</t>
  </si>
  <si>
    <t>(Km)</t>
  </si>
  <si>
    <t>Giai đoạn từ nay đến 2030</t>
  </si>
  <si>
    <t>T1</t>
  </si>
  <si>
    <t>Trần Quý Cáp - Suối Mơ</t>
  </si>
  <si>
    <t>T2</t>
  </si>
  <si>
    <t>TT Thương mại An Phú Thịnh   - Phước Mỹ</t>
  </si>
  <si>
    <t>T6B</t>
  </si>
  <si>
    <t>T8</t>
  </si>
  <si>
    <t>Siêu Thị Coopmart Quy Nhơn (đường Lê Duẩn) -  Vân Canh</t>
  </si>
  <si>
    <t>T13</t>
  </si>
  <si>
    <t>Bệnh viện Bồng Sơn – An Lão</t>
  </si>
  <si>
    <t>T14</t>
  </si>
  <si>
    <t>KV1 – KV2 phường Quy Nhơn – Trường Đại học FPT</t>
  </si>
  <si>
    <t>T21</t>
  </si>
  <si>
    <t>Nhơn Hải, phường Quy Nhơn Đông -  Cảng Thị Nại</t>
  </si>
  <si>
    <t>T22</t>
  </si>
  <si>
    <t>Nhơn Lý, phường Quy Nhơn Đông -  Cảng Thị Nại</t>
  </si>
  <si>
    <t xml:space="preserve">T36 </t>
  </si>
  <si>
    <t>T35</t>
  </si>
  <si>
    <t>Bến xe Đức Long - Chư Pưh</t>
  </si>
  <si>
    <t>T38</t>
  </si>
  <si>
    <t>Giai đoạn 2031 - 2035</t>
  </si>
  <si>
    <t>T40</t>
  </si>
  <si>
    <t>T41</t>
  </si>
  <si>
    <t>Bến xe Đức Long – Ia O</t>
  </si>
  <si>
    <t>T43</t>
  </si>
  <si>
    <t>An Khê - Kông Chro</t>
  </si>
  <si>
    <t>T44</t>
  </si>
  <si>
    <t>Kông Chro – Ayun Pa</t>
  </si>
  <si>
    <t>Trợ giá</t>
  </si>
  <si>
    <t>Định mức tốc độ bình quân</t>
  </si>
  <si>
    <t>Số lượng điểm  dừng</t>
  </si>
  <si>
    <t>Thời gian lăn bánh</t>
  </si>
  <si>
    <t>Thời gian dừng dọc đường</t>
  </si>
  <si>
    <t>Thời gian đầu cuối</t>
  </si>
  <si>
    <t>Tổng thời gian 1 chuyến</t>
  </si>
  <si>
    <t>Thời gian 1 vòng</t>
  </si>
  <si>
    <t>Giãn cách chạy xe</t>
  </si>
  <si>
    <t>Số lượng phương tiện vận doanh tối thiểu</t>
  </si>
  <si>
    <t>(Ngã 3 Vườn Xoài) – xã Vĩnh Thạnh</t>
  </si>
  <si>
    <t xml:space="preserve">BX Đức Long - Chư Prông </t>
  </si>
  <si>
    <t xml:space="preserve">Bến xe Đức Long - Ia Dom </t>
  </si>
  <si>
    <t>City Tourr</t>
  </si>
  <si>
    <t>Chuyến đi vòng tròn</t>
  </si>
  <si>
    <t>Bến xe Đức Long - Ia Ly</t>
  </si>
  <si>
    <t>1.1</t>
  </si>
  <si>
    <t>Tuyến trợ giá</t>
  </si>
  <si>
    <t>1.2</t>
  </si>
  <si>
    <t>T4</t>
  </si>
  <si>
    <t xml:space="preserve">Cảng Thị Nại - Ngã 4 Gò Găng </t>
  </si>
  <si>
    <t>T6</t>
  </si>
  <si>
    <t>T7</t>
  </si>
  <si>
    <t>T9</t>
  </si>
  <si>
    <t>T10</t>
  </si>
  <si>
    <t>T24</t>
  </si>
  <si>
    <t>T32</t>
  </si>
  <si>
    <t>Bến xe Đức Long – xã Ia Lâu</t>
  </si>
  <si>
    <t>T42</t>
  </si>
  <si>
    <t>KBang - An Khê</t>
  </si>
  <si>
    <t>2.1</t>
  </si>
  <si>
    <t>Tuyến buýt trợ giá</t>
  </si>
  <si>
    <t>2.2</t>
  </si>
  <si>
    <t>Tuyến buýt XXH</t>
  </si>
  <si>
    <t>T16</t>
  </si>
  <si>
    <t>KKT Nhơn Hội - Sân bay Phù Cát</t>
  </si>
  <si>
    <t>T17</t>
  </si>
  <si>
    <t>Mỹ Thọ - Phù Mỹ</t>
  </si>
  <si>
    <t>T18</t>
  </si>
  <si>
    <t>Nhơn Tân - Phù Cát</t>
  </si>
  <si>
    <t>T19</t>
  </si>
  <si>
    <t>Ngô Mây - Đề Gi</t>
  </si>
  <si>
    <t>T20</t>
  </si>
  <si>
    <t>T51</t>
  </si>
  <si>
    <t>Vườn hoa Gia Lai - Sân bay Pleiku</t>
  </si>
  <si>
    <t>T52</t>
  </si>
  <si>
    <t>Bến xe Đức Long – Núi lửa Chư Đăng Ya</t>
  </si>
  <si>
    <t>Giai đoạn</t>
  </si>
  <si>
    <t>Phân nhóm</t>
  </si>
  <si>
    <t>Số lượng phương tiện có</t>
  </si>
  <si>
    <t>XHH</t>
  </si>
  <si>
    <t>Hiện có 7.300 m2</t>
  </si>
  <si>
    <t>Giai đoạn 2027-2030</t>
  </si>
  <si>
    <t>Sau 2030</t>
  </si>
  <si>
    <t>Hiện có</t>
  </si>
  <si>
    <t>Đầu tư mới</t>
  </si>
  <si>
    <t>Thay thế</t>
  </si>
  <si>
    <t>Tổng số</t>
  </si>
  <si>
    <t>Tổng giai đoạn từ nay đến 2035</t>
  </si>
  <si>
    <t>hiện có</t>
  </si>
  <si>
    <t>- Kịch bản: Số lượng nhà chờ chiếm 30% điểm dừng toàn mạng lưới</t>
  </si>
  <si>
    <t>III</t>
  </si>
  <si>
    <t>- Kinh phí hỗ trợ hoạt động VTHKCC buýt</t>
  </si>
  <si>
    <t xml:space="preserve">Xây dựng điểm đầu cuối 
(điểm đậu đỗ xe, nhà chờ, trạm bán vé) </t>
  </si>
  <si>
    <r>
      <t xml:space="preserve">Số lượng phương tiện vận doanh </t>
    </r>
    <r>
      <rPr>
        <i/>
        <sz val="14"/>
        <color rgb="FF000000"/>
        <rFont val="Times New Roman"/>
        <family val="1"/>
      </rPr>
      <t>(Chiếc)</t>
    </r>
  </si>
  <si>
    <t>(Chiếc)</t>
  </si>
  <si>
    <t>Diện tích tối thiểu phục vụ đậu đỗ</t>
  </si>
  <si>
    <t>(m2)</t>
  </si>
  <si>
    <t>Diện tích đề xuất</t>
  </si>
  <si>
    <t>SHT</t>
  </si>
  <si>
    <t>Cự ly (Km)</t>
  </si>
  <si>
    <t>SL phương tiện vận danh tối thiểu</t>
  </si>
  <si>
    <t>TTTM An Phú Thịnh   - Phước Mỹ</t>
  </si>
  <si>
    <t>Tuyến XHH</t>
  </si>
  <si>
    <t>Theo QC01:2021/BXD, diện tích đậu đỗ tối thiểu của phương tiện xe buýt là 40m2/phương tiện. Áp dụng tỷ lệ 1,5 cho các công năng tối thiểu cần thiết</t>
  </si>
  <si>
    <t>Giãn cách chạy xe cđ</t>
  </si>
  <si>
    <t>46.2</t>
  </si>
  <si>
    <t>92.5</t>
  </si>
  <si>
    <t>47.6</t>
  </si>
  <si>
    <t>95.1</t>
  </si>
  <si>
    <t>36.7</t>
  </si>
  <si>
    <t>73.5</t>
  </si>
  <si>
    <t>73.9</t>
  </si>
  <si>
    <t>147.7</t>
  </si>
  <si>
    <t>63.1</t>
  </si>
  <si>
    <t>126.3</t>
  </si>
  <si>
    <t>46.4</t>
  </si>
  <si>
    <t>92.8</t>
  </si>
  <si>
    <t>45.9</t>
  </si>
  <si>
    <t>91.8</t>
  </si>
  <si>
    <t>48.2</t>
  </si>
  <si>
    <t>96.5</t>
  </si>
  <si>
    <t>66.0</t>
  </si>
  <si>
    <t>132.1</t>
  </si>
  <si>
    <t>96.9</t>
  </si>
  <si>
    <t>193.8</t>
  </si>
  <si>
    <t>98.2</t>
  </si>
  <si>
    <t>196.4</t>
  </si>
  <si>
    <t>94.8</t>
  </si>
  <si>
    <t>189.7</t>
  </si>
  <si>
    <t>90.5</t>
  </si>
  <si>
    <t>180.9</t>
  </si>
  <si>
    <t>Số chuyến/ngày</t>
  </si>
  <si>
    <t>60.0</t>
  </si>
  <si>
    <t>120.0</t>
  </si>
  <si>
    <t>50.2</t>
  </si>
  <si>
    <t>100.5</t>
  </si>
  <si>
    <t>Số km khai thác/ngày</t>
  </si>
  <si>
    <t>Số km khai thác/năm</t>
  </si>
  <si>
    <t>- Km hoạt động các tuyến xe buýt được hỗ trợ kinh phí hoạt động</t>
  </si>
  <si>
    <t>km</t>
  </si>
  <si>
    <t>- Kinh phí hỗ trợ hoạt động VTHKCC buýt 1 năm</t>
  </si>
  <si>
    <t>triệu đồng</t>
  </si>
  <si>
    <t>- Kinh phí hỗ trợ hoạt động VTHKCC buýt 1 năm/1 tuyến</t>
  </si>
  <si>
    <t>Cự ly
(km)</t>
  </si>
  <si>
    <t>Xe diesel nhỏ</t>
  </si>
  <si>
    <t>Xe</t>
  </si>
  <si>
    <t>Hỗ trợ lãi suất vay vốn đầu tư mua phương tiện xe buýt</t>
  </si>
  <si>
    <t>KV1 – KV2 P. Quy Nhơn – Trường ĐH FPT</t>
  </si>
  <si>
    <t>Nhơn Hải, P. Quy Nhơn Đông -  Cảng Thị Nại</t>
  </si>
  <si>
    <t>Nhơn Lý, P. Quy Nhơn Đông -  Cảng Thị Nại</t>
  </si>
  <si>
    <t>TTTM An Phú Thịnh (Chợ Lớn cũ) - Cầu 16 xã Bình Khê</t>
  </si>
  <si>
    <t>Trường CĐ Y Tế Bình Định - Chùa  Ông Núi (Cát Tiến)</t>
  </si>
  <si>
    <t>Phù Ly- Quy Nhơn</t>
  </si>
  <si>
    <t>Mỹ An - Quy Nhơn</t>
  </si>
  <si>
    <t>Quy Nhơn - Sân bay Phù Cát</t>
  </si>
  <si>
    <t>T46</t>
  </si>
  <si>
    <t>Bến xe Đức Long -  Xã Mang Yang</t>
  </si>
  <si>
    <t>City tour</t>
  </si>
  <si>
    <t xml:space="preserve">Bãi đỗ xe buýt Lê Duẩn - Bãi đỗ xe buýt Lê Duẩn  </t>
  </si>
  <si>
    <t>Ngô Mây, xã Phù Cát - TT xã Cát Tiến</t>
  </si>
  <si>
    <t>mới</t>
  </si>
  <si>
    <t>2027-2030</t>
  </si>
  <si>
    <t>2031-2035</t>
  </si>
  <si>
    <t>Đầu tư mới phương tiện theo giai đoạn, tính cho số xe có (vận doanh + dự phòng 10%)</t>
  </si>
  <si>
    <t>Loại xe</t>
  </si>
  <si>
    <t>Theo quyết định 1886/QĐ-UBND tỉnh Gia Lai, ngày 28/4/2026 v/v phê duyệt phương án đặt hàng cung cấp dịch vụ VTHKCC bằng xe buýt năm 2026</t>
  </si>
  <si>
    <t>Số km đặt hàng</t>
  </si>
  <si>
    <t>Số chuyến</t>
  </si>
  <si>
    <t>Dự toán kinh phí</t>
  </si>
  <si>
    <t>Giá trị hỗ trợ kinh phí hoạt động/km</t>
  </si>
  <si>
    <t>Căn cứ quyết định 1886/QĐ-UBND ngày 28/4/2026 làm cơ sở xác định giá trị tạm tính kinh phí hỗ trợ hoạt động xe buýt</t>
  </si>
  <si>
    <t>Số lượng phương tiện</t>
  </si>
  <si>
    <t>23/6/2026- chỉ tiêu KTKT</t>
  </si>
  <si>
    <r>
      <t>C</t>
    </r>
    <r>
      <rPr>
        <b/>
        <sz val="14"/>
        <color rgb="FF000000"/>
        <rFont val="Times New Roman"/>
        <family val="1"/>
      </rPr>
      <t>ự ly</t>
    </r>
  </si>
  <si>
    <t>làm tròn</t>
  </si>
  <si>
    <t>24,4</t>
  </si>
  <si>
    <t>Giãn cách chạy xe giờ cao điểm</t>
  </si>
  <si>
    <t>Số chuyến theo 2 loại giãn cách</t>
  </si>
  <si>
    <t>25,2</t>
  </si>
  <si>
    <t>64,5</t>
  </si>
  <si>
    <t>43,9</t>
  </si>
  <si>
    <t>18,5</t>
  </si>
  <si>
    <t>24,2</t>
  </si>
  <si>
    <t>25,6</t>
  </si>
  <si>
    <t>Tuyến xã hội hóa</t>
  </si>
  <si>
    <t>Cảng Thị Nại - Ngã 4 Gò Găng
(nối dài đến Bình Dương)</t>
  </si>
  <si>
    <t>Giai đoạn từ 2031-2035</t>
  </si>
  <si>
    <t>Tuyến XXH</t>
  </si>
  <si>
    <t>Xe và số chuyến trong ngày</t>
  </si>
  <si>
    <t>Số chuyến/ ngày</t>
  </si>
  <si>
    <t>Số km xe chạy/ ngày</t>
  </si>
  <si>
    <r>
      <t xml:space="preserve">Số lượng phương tiện vận doanh </t>
    </r>
    <r>
      <rPr>
        <i/>
        <sz val="12"/>
        <color rgb="FF000000"/>
        <rFont val="Times New Roman"/>
        <family val="1"/>
      </rPr>
      <t>(Chiếc)</t>
    </r>
  </si>
  <si>
    <t>Số lượng phương tiện có (10%)</t>
  </si>
  <si>
    <t>TG</t>
  </si>
  <si>
    <t>XXH</t>
  </si>
  <si>
    <t>xe  thêm</t>
  </si>
  <si>
    <t>diện tích</t>
  </si>
  <si>
    <t>Số lượng xe mua thêm đến 2030</t>
  </si>
  <si>
    <t>Số lượng xe mua thêm sau 2030</t>
  </si>
  <si>
    <t>Cự ly hiện tải</t>
  </si>
  <si>
    <t>cự ly đến 2035</t>
  </si>
  <si>
    <t>điểm dừng</t>
  </si>
  <si>
    <t>70% điểm</t>
  </si>
  <si>
    <t>điểm dừng tuyến mới 2030</t>
  </si>
  <si>
    <t>điểm dừng tuyến mới đến 2035</t>
  </si>
  <si>
    <t>điểm dừng - điểm trùng</t>
  </si>
  <si>
    <t>điểm dừng tuyến mới 2031- 2035</t>
  </si>
  <si>
    <t>điểm dừng tuyến mới 2035</t>
  </si>
  <si>
    <t>Số phương tiện vận doanh</t>
  </si>
  <si>
    <t>2027-2031</t>
  </si>
  <si>
    <t>Có</t>
  </si>
  <si>
    <t>Mua mới</t>
  </si>
  <si>
    <t>Mới</t>
  </si>
  <si>
    <t>2030 - dự phòng cũng chuyểnT1, 2,8,14,21,22</t>
  </si>
  <si>
    <t>Chỉ tiêu</t>
  </si>
  <si>
    <t>Trị giá</t>
  </si>
  <si>
    <t>Yêu cầu chuyển đổi</t>
  </si>
  <si>
    <t>Số lượng</t>
  </si>
  <si>
    <t>Số xe điện vận doanh/ các tuyến đô thị, trợ giá (tính cả dự phòng)</t>
  </si>
  <si>
    <t>Chiếc</t>
  </si>
  <si>
    <t>Số xe điện/ các tuyến đô thị, trợ giá</t>
  </si>
  <si>
    <t>Số xe trên toàn mạng (vận doanh + dự phòng)</t>
  </si>
  <si>
    <t>Số xe trên toàn mạng</t>
  </si>
  <si>
    <t>Tỷ lệ xe điện</t>
  </si>
  <si>
    <t>%</t>
  </si>
  <si>
    <t>2035_Nếu chuyển đổi ở tất cả các xe trợ giá</t>
  </si>
  <si>
    <t>xe điện</t>
  </si>
  <si>
    <t>toàn mạng</t>
  </si>
  <si>
    <t>tỷ lệ</t>
  </si>
  <si>
    <t>tính cả dự phòng</t>
  </si>
  <si>
    <t>Tổng</t>
  </si>
  <si>
    <t>Tính theo Thành nói - chuyển đổi ở tất cả các tuyến trợ giá</t>
  </si>
  <si>
    <t>2030 có 22 xe diesel mua mới</t>
  </si>
  <si>
    <t xml:space="preserve">Số xe điện vận doanh/ các tuyến trợ giá </t>
  </si>
  <si>
    <t>2 chiếc hiện có</t>
  </si>
  <si>
    <t>Số xe điện có/ các tuyến trợ giá (vận doanh+ dự phòng)</t>
  </si>
  <si>
    <t>2035 mua thêm 14 xe diesel của 6 tuyến mới + 2 xe thay thế của T9</t>
  </si>
  <si>
    <t>Vận doanh</t>
  </si>
  <si>
    <t>Xe có+ Vận doạnh + dự phòng</t>
  </si>
  <si>
    <t>Mua mới cả dự phòng</t>
  </si>
  <si>
    <t>Mua để thay thế</t>
  </si>
  <si>
    <t>2028-2030</t>
  </si>
  <si>
    <t>T14 +T15</t>
  </si>
  <si>
    <t>Xe VD</t>
  </si>
  <si>
    <t>Xe VD+Dphong</t>
  </si>
  <si>
    <t>Tuyến trợ giá - xe điện</t>
  </si>
  <si>
    <t>Tuyến XXH - xe diesel</t>
  </si>
  <si>
    <t>Các xe hết niên hạn + mua mới --&gt; Điện</t>
  </si>
  <si>
    <t>Xe điện</t>
  </si>
  <si>
    <t>Mua thay thế</t>
  </si>
  <si>
    <t>Các xe diesel đang dùng phải thay sang xe điện</t>
  </si>
  <si>
    <t>Mua thay thế/thêm</t>
  </si>
  <si>
    <t>Tuyến xã hội hóa- diesel</t>
  </si>
  <si>
    <t>Hỗ trợ lãi vay</t>
  </si>
  <si>
    <t xml:space="preserve">Trẻ em dưới 6 tuổi; Người khuyết tật nặng và người khuyết tật đặc biệt nặng.
</t>
  </si>
  <si>
    <t>lượt</t>
  </si>
  <si>
    <t xml:space="preserve">Học sinh, sinh viên
</t>
  </si>
  <si>
    <t>vé tháng</t>
  </si>
  <si>
    <t xml:space="preserve"> Người cao tuổi, người có công cách mạng
</t>
  </si>
  <si>
    <t>Dựa trên số điểm dừng hiện có và tính tỉ lệ 30% cho giai đoạn 2030</t>
  </si>
  <si>
    <t xml:space="preserve">- Theo số liệu thống kê của XN xe buýt Quy Nhơn năm 2025 và số liệu ước tính.
- Học sinh, sinh viên Người cao tuổi, người có công cách mạng được giảm 50% giá vé; Trẻ em dưới 6 tuổi; Người khuyết tật nặng và người khuyết tật đặc biệt nặng được miễn 100% giá vé
</t>
  </si>
  <si>
    <t xml:space="preserve">Hỗ trợ kinh phí hoạt động vận tải hành khách công cộng bằng xe buýt </t>
  </si>
  <si>
    <t>Hỗ trợ cho người sử dụng dịch vụ vận tải hành khách công cộng bằng xe buýt thông qua việc miễn, giám giá vé</t>
  </si>
  <si>
    <t>CHI PHÍ ĐẦU TƯ HẠ TẦNG, PHƯƠNG TIỆN</t>
  </si>
  <si>
    <t>KINH PHÍ NGÂN SÁCH HỖ TRỢ</t>
  </si>
  <si>
    <t>TỔNG NGUỒN VỐN NHÀ NƯỚC HỖ TRỢ GIAI ĐOẠN 2027-2030</t>
  </si>
  <si>
    <t>NGUỒN VỐN NHÀ NƯỚC HỖ TRỢ BÌNH QUÂN/01 NĂM</t>
  </si>
  <si>
    <t>Áp dụng hỗ trợ lãi suất với 70% tổng mức đầu tư, mức hỗ trợ bằng 70% lãi suất phải trả thực tế (tạm tính lãi suất áp dụng hiện hành là 10%/năm)</t>
  </si>
  <si>
    <t>Áp dụng hỗ trợ lãi suất với 70% tổng mức đầu tư, mức hỗ trợ bằng 70% lãi suất phải trả thực tế đối với xe buýt điện, 0% lãi suất phải trả thực tế đối với xe buýt diesel (tạm tính lãi suất áp dụng hiện hành là 10%/năm)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</si>
</sst>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  <numFmt numFmtId="166" formatCode="#,##0.0"/>
    <numFmt numFmtId="167" formatCode="0.0"/>
    <numFmt numFmtId="168" formatCode="_-* #,##0_-;\-* #,##0_-;_-* &quot;-&quot;??_-;_-@_-"/>
    <numFmt numFmtId="169" formatCode="_(* #,##0.0_);_(* \(#,##0.0\);_(* &quot;-&quot;??_);_(@_)"/>
  </numFmts>
  <fonts count="5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2"/>
    </font>
    <font>
      <sz val="12"/>
      <color rgb="FFFF0000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1"/>
      <color rgb="FF000000"/>
      <name val="Times New Roman"/>
      <family val="1"/>
    </font>
    <font>
      <b/>
      <sz val="12"/>
      <color rgb="FFFF0000"/>
      <name val="Times New Roman"/>
      <family val="1"/>
    </font>
    <font>
      <b/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b/>
      <sz val="11"/>
      <color rgb="FFFF0000"/>
      <name val="Calibri"/>
      <family val="2"/>
      <scheme val="minor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3"/>
      <color rgb="FFFF0000"/>
      <name val="Times New Roman"/>
      <family val="1"/>
    </font>
    <font>
      <sz val="11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color rgb="FF000000"/>
      <name val="Times New Roman"/>
      <family val="1"/>
    </font>
    <font>
      <b/>
      <sz val="8"/>
      <color theme="1"/>
      <name val="Calibri"/>
      <family val="2"/>
      <scheme val="minor"/>
    </font>
    <font>
      <sz val="8"/>
      <color theme="1"/>
      <name val="Times New Roman"/>
      <family val="1"/>
    </font>
    <font>
      <i/>
      <sz val="8"/>
      <color rgb="FFFF0000"/>
      <name val="Times New Roman"/>
      <family val="1"/>
    </font>
    <font>
      <sz val="10"/>
      <color rgb="FF000000"/>
      <name val="Times New Roman"/>
      <family val="1"/>
    </font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8"/>
      <color rgb="FFFF0000"/>
      <name val="Times New Roman"/>
      <family val="1"/>
    </font>
    <font>
      <sz val="11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theme="1"/>
      <name val="Calibri"/>
      <family val="2"/>
      <charset val="163"/>
      <scheme val="minor"/>
    </font>
    <font>
      <i/>
      <sz val="13"/>
      <color rgb="FF000000"/>
      <name val="Times New Roman"/>
      <family val="1"/>
    </font>
    <font>
      <sz val="10"/>
      <color rgb="FF000000"/>
      <name val="Calibri"/>
      <family val="2"/>
    </font>
    <font>
      <i/>
      <sz val="13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43" fontId="5" fillId="0" borderId="0" applyFont="0" applyFill="0" applyBorder="0" applyAlignment="0" applyProtection="0"/>
    <xf numFmtId="41" fontId="19" fillId="0" borderId="0" applyFont="0" applyFill="0" applyBorder="0" applyAlignment="0" applyProtection="0"/>
  </cellStyleXfs>
  <cellXfs count="471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1" fillId="4" borderId="8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3" fontId="0" fillId="0" borderId="0" xfId="0" applyNumberFormat="1"/>
    <xf numFmtId="0" fontId="7" fillId="0" borderId="0" xfId="0" applyFont="1" applyAlignment="1">
      <alignment horizontal="left" vertical="center"/>
    </xf>
    <xf numFmtId="0" fontId="14" fillId="0" borderId="0" xfId="0" applyFont="1"/>
    <xf numFmtId="0" fontId="15" fillId="5" borderId="17" xfId="0" applyFont="1" applyFill="1" applyBorder="1" applyAlignment="1">
      <alignment horizontal="center" vertical="center"/>
    </xf>
    <xf numFmtId="0" fontId="15" fillId="5" borderId="17" xfId="0" applyFont="1" applyFill="1" applyBorder="1" applyAlignment="1">
      <alignment horizontal="center" vertical="center" wrapText="1"/>
    </xf>
    <xf numFmtId="0" fontId="16" fillId="5" borderId="14" xfId="0" applyFont="1" applyFill="1" applyBorder="1" applyAlignment="1">
      <alignment horizontal="center" vertical="center" wrapText="1"/>
    </xf>
    <xf numFmtId="0" fontId="16" fillId="5" borderId="14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left" vertical="center"/>
    </xf>
    <xf numFmtId="0" fontId="17" fillId="0" borderId="14" xfId="0" applyFont="1" applyBorder="1" applyAlignment="1">
      <alignment horizontal="center" vertical="center"/>
    </xf>
    <xf numFmtId="3" fontId="17" fillId="0" borderId="14" xfId="0" applyNumberFormat="1" applyFont="1" applyBorder="1" applyAlignment="1">
      <alignment horizontal="center" vertical="center"/>
    </xf>
    <xf numFmtId="3" fontId="17" fillId="0" borderId="1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7" fillId="0" borderId="18" xfId="0" applyFont="1" applyBorder="1" applyAlignment="1">
      <alignment horizontal="justify" vertical="center" wrapText="1"/>
    </xf>
    <xf numFmtId="0" fontId="12" fillId="6" borderId="16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41" fontId="13" fillId="0" borderId="1" xfId="3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0" fillId="8" borderId="1" xfId="0" applyFill="1" applyBorder="1"/>
    <xf numFmtId="41" fontId="12" fillId="8" borderId="1" xfId="3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/>
    </xf>
    <xf numFmtId="0" fontId="0" fillId="9" borderId="1" xfId="0" applyFill="1" applyBorder="1"/>
    <xf numFmtId="41" fontId="12" fillId="9" borderId="1" xfId="3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 wrapText="1"/>
    </xf>
    <xf numFmtId="3" fontId="20" fillId="7" borderId="1" xfId="0" applyNumberFormat="1" applyFont="1" applyFill="1" applyBorder="1" applyAlignment="1">
      <alignment horizontal="right" vertical="center"/>
    </xf>
    <xf numFmtId="3" fontId="20" fillId="7" borderId="1" xfId="0" applyNumberFormat="1" applyFont="1" applyFill="1" applyBorder="1" applyAlignment="1">
      <alignment horizontal="left" vertical="center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3" fontId="30" fillId="4" borderId="1" xfId="0" applyNumberFormat="1" applyFont="1" applyFill="1" applyBorder="1" applyAlignment="1">
      <alignment horizontal="center" vertical="center" wrapText="1"/>
    </xf>
    <xf numFmtId="3" fontId="28" fillId="3" borderId="1" xfId="0" applyNumberFormat="1" applyFont="1" applyFill="1" applyBorder="1" applyAlignment="1">
      <alignment horizontal="center" vertical="center"/>
    </xf>
    <xf numFmtId="3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29" fillId="3" borderId="1" xfId="0" applyFont="1" applyFill="1" applyBorder="1" applyAlignment="1">
      <alignment horizontal="center" vertical="center"/>
    </xf>
    <xf numFmtId="1" fontId="31" fillId="4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3" fontId="28" fillId="0" borderId="1" xfId="0" applyNumberFormat="1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1" fontId="28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12" fillId="5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4" fontId="28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center" vertical="top"/>
    </xf>
    <xf numFmtId="0" fontId="33" fillId="10" borderId="1" xfId="0" applyFont="1" applyFill="1" applyBorder="1" applyAlignment="1">
      <alignment horizontal="center"/>
    </xf>
    <xf numFmtId="164" fontId="17" fillId="0" borderId="1" xfId="0" applyNumberFormat="1" applyFont="1" applyBorder="1" applyAlignment="1">
      <alignment horizontal="center" vertical="center"/>
    </xf>
    <xf numFmtId="0" fontId="34" fillId="0" borderId="0" xfId="0" applyFont="1" applyAlignment="1">
      <alignment vertical="center"/>
    </xf>
    <xf numFmtId="0" fontId="22" fillId="3" borderId="0" xfId="0" applyFont="1" applyFill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4" fillId="3" borderId="0" xfId="0" applyFont="1" applyFill="1" applyAlignment="1">
      <alignment vertical="center"/>
    </xf>
    <xf numFmtId="41" fontId="22" fillId="3" borderId="0" xfId="3" applyFont="1" applyFill="1" applyAlignment="1">
      <alignment vertical="center"/>
    </xf>
    <xf numFmtId="41" fontId="22" fillId="0" borderId="0" xfId="3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6" fillId="0" borderId="0" xfId="0" quotePrefix="1" applyFont="1" applyAlignment="1">
      <alignment vertical="center"/>
    </xf>
    <xf numFmtId="0" fontId="36" fillId="0" borderId="1" xfId="1" applyFont="1" applyBorder="1"/>
    <xf numFmtId="0" fontId="36" fillId="0" borderId="1" xfId="1" applyFont="1" applyBorder="1" applyAlignment="1">
      <alignment horizontal="center" vertical="center"/>
    </xf>
    <xf numFmtId="1" fontId="37" fillId="0" borderId="1" xfId="1" applyNumberFormat="1" applyFont="1" applyBorder="1" applyAlignment="1">
      <alignment horizontal="center" vertical="center"/>
    </xf>
    <xf numFmtId="166" fontId="36" fillId="0" borderId="1" xfId="1" applyNumberFormat="1" applyFont="1" applyBorder="1" applyAlignment="1">
      <alignment horizontal="center" vertical="center"/>
    </xf>
    <xf numFmtId="1" fontId="36" fillId="0" borderId="1" xfId="1" applyNumberFormat="1" applyFont="1" applyBorder="1" applyAlignment="1">
      <alignment horizontal="center" vertical="center"/>
    </xf>
    <xf numFmtId="3" fontId="36" fillId="0" borderId="1" xfId="1" applyNumberFormat="1" applyFont="1" applyBorder="1" applyAlignment="1">
      <alignment horizontal="center" vertical="center"/>
    </xf>
    <xf numFmtId="3" fontId="36" fillId="11" borderId="0" xfId="1" applyNumberFormat="1" applyFont="1" applyFill="1" applyAlignment="1">
      <alignment horizontal="center" vertical="center"/>
    </xf>
    <xf numFmtId="0" fontId="3" fillId="3" borderId="0" xfId="1" applyFill="1" applyAlignment="1">
      <alignment horizontal="center"/>
    </xf>
    <xf numFmtId="0" fontId="3" fillId="0" borderId="0" xfId="1" applyAlignment="1">
      <alignment horizontal="center"/>
    </xf>
    <xf numFmtId="0" fontId="36" fillId="0" borderId="0" xfId="1" applyFont="1"/>
    <xf numFmtId="0" fontId="36" fillId="0" borderId="0" xfId="1" applyFont="1" applyAlignment="1">
      <alignment horizontal="center" vertical="center"/>
    </xf>
    <xf numFmtId="3" fontId="36" fillId="0" borderId="0" xfId="1" applyNumberFormat="1" applyFont="1"/>
    <xf numFmtId="3" fontId="36" fillId="0" borderId="0" xfId="1" applyNumberFormat="1" applyFont="1" applyAlignment="1">
      <alignment horizontal="center" vertical="center"/>
    </xf>
    <xf numFmtId="0" fontId="33" fillId="5" borderId="15" xfId="1" applyFont="1" applyFill="1" applyBorder="1" applyAlignment="1">
      <alignment horizontal="center" vertical="center" wrapText="1"/>
    </xf>
    <xf numFmtId="3" fontId="3" fillId="0" borderId="0" xfId="1" applyNumberFormat="1" applyAlignment="1">
      <alignment horizontal="center" vertical="center" wrapText="1"/>
    </xf>
    <xf numFmtId="0" fontId="3" fillId="0" borderId="0" xfId="1"/>
    <xf numFmtId="0" fontId="36" fillId="0" borderId="5" xfId="1" applyFont="1" applyBorder="1"/>
    <xf numFmtId="0" fontId="36" fillId="0" borderId="5" xfId="1" applyFont="1" applyBorder="1" applyAlignment="1">
      <alignment horizontal="center" vertical="center"/>
    </xf>
    <xf numFmtId="1" fontId="37" fillId="0" borderId="5" xfId="1" applyNumberFormat="1" applyFont="1" applyBorder="1" applyAlignment="1">
      <alignment horizontal="center" vertical="center"/>
    </xf>
    <xf numFmtId="166" fontId="36" fillId="0" borderId="5" xfId="1" applyNumberFormat="1" applyFont="1" applyBorder="1" applyAlignment="1">
      <alignment horizontal="center" vertical="center"/>
    </xf>
    <xf numFmtId="1" fontId="36" fillId="0" borderId="5" xfId="1" applyNumberFormat="1" applyFont="1" applyBorder="1" applyAlignment="1">
      <alignment horizontal="center" vertical="center"/>
    </xf>
    <xf numFmtId="3" fontId="36" fillId="0" borderId="5" xfId="1" applyNumberFormat="1" applyFont="1" applyBorder="1" applyAlignment="1">
      <alignment horizontal="center" vertical="center"/>
    </xf>
    <xf numFmtId="0" fontId="15" fillId="5" borderId="13" xfId="1" applyFont="1" applyFill="1" applyBorder="1" applyAlignment="1">
      <alignment horizontal="center" vertical="center" wrapText="1"/>
    </xf>
    <xf numFmtId="0" fontId="38" fillId="0" borderId="1" xfId="1" applyFont="1" applyBorder="1"/>
    <xf numFmtId="0" fontId="38" fillId="0" borderId="1" xfId="1" applyFont="1" applyBorder="1" applyAlignment="1">
      <alignment horizontal="center" vertical="center"/>
    </xf>
    <xf numFmtId="1" fontId="39" fillId="0" borderId="1" xfId="1" applyNumberFormat="1" applyFont="1" applyBorder="1" applyAlignment="1">
      <alignment horizontal="center" vertical="center"/>
    </xf>
    <xf numFmtId="166" fontId="38" fillId="0" borderId="1" xfId="1" applyNumberFormat="1" applyFont="1" applyBorder="1" applyAlignment="1">
      <alignment horizontal="center" vertical="center"/>
    </xf>
    <xf numFmtId="1" fontId="38" fillId="0" borderId="1" xfId="1" applyNumberFormat="1" applyFont="1" applyBorder="1" applyAlignment="1">
      <alignment horizontal="center" vertical="center"/>
    </xf>
    <xf numFmtId="3" fontId="38" fillId="0" borderId="1" xfId="1" applyNumberFormat="1" applyFont="1" applyBorder="1" applyAlignment="1">
      <alignment horizontal="center" vertical="center"/>
    </xf>
    <xf numFmtId="3" fontId="38" fillId="11" borderId="1" xfId="1" applyNumberFormat="1" applyFont="1" applyFill="1" applyBorder="1" applyAlignment="1">
      <alignment horizontal="center" vertical="center"/>
    </xf>
    <xf numFmtId="0" fontId="40" fillId="3" borderId="1" xfId="1" applyFont="1" applyFill="1" applyBorder="1" applyAlignment="1">
      <alignment horizontal="center"/>
    </xf>
    <xf numFmtId="0" fontId="7" fillId="0" borderId="13" xfId="1" applyFont="1" applyBorder="1" applyAlignment="1">
      <alignment horizontal="center" vertical="center" wrapText="1"/>
    </xf>
    <xf numFmtId="0" fontId="31" fillId="0" borderId="1" xfId="1" applyFont="1" applyBorder="1" applyAlignment="1">
      <alignment horizontal="center" vertical="center" wrapText="1"/>
    </xf>
    <xf numFmtId="0" fontId="28" fillId="0" borderId="1" xfId="1" applyFont="1" applyBorder="1" applyAlignment="1">
      <alignment horizontal="center" vertical="center" wrapText="1"/>
    </xf>
    <xf numFmtId="0" fontId="28" fillId="3" borderId="0" xfId="1" applyFont="1" applyFill="1" applyAlignment="1">
      <alignment horizontal="center" vertical="center" wrapText="1"/>
    </xf>
    <xf numFmtId="0" fontId="31" fillId="0" borderId="0" xfId="1" applyFont="1" applyAlignment="1">
      <alignment horizontal="center" vertical="center" wrapText="1"/>
    </xf>
    <xf numFmtId="3" fontId="31" fillId="0" borderId="0" xfId="1" applyNumberFormat="1" applyFont="1" applyAlignment="1">
      <alignment horizontal="center" vertical="center" wrapText="1"/>
    </xf>
    <xf numFmtId="3" fontId="28" fillId="0" borderId="0" xfId="1" applyNumberFormat="1" applyFont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15" fillId="5" borderId="17" xfId="1" applyFont="1" applyFill="1" applyBorder="1" applyAlignment="1">
      <alignment horizontal="center" vertical="center" wrapText="1"/>
    </xf>
    <xf numFmtId="0" fontId="31" fillId="0" borderId="1" xfId="1" applyFont="1" applyBorder="1" applyAlignment="1">
      <alignment horizontal="left" vertical="center" wrapText="1"/>
    </xf>
    <xf numFmtId="0" fontId="28" fillId="0" borderId="1" xfId="1" applyFont="1" applyBorder="1" applyAlignment="1">
      <alignment horizontal="center" vertical="center"/>
    </xf>
    <xf numFmtId="1" fontId="6" fillId="0" borderId="1" xfId="1" applyNumberFormat="1" applyFont="1" applyBorder="1" applyAlignment="1">
      <alignment horizontal="center" vertical="center"/>
    </xf>
    <xf numFmtId="166" fontId="28" fillId="0" borderId="1" xfId="1" applyNumberFormat="1" applyFont="1" applyBorder="1" applyAlignment="1">
      <alignment horizontal="center" vertical="center"/>
    </xf>
    <xf numFmtId="1" fontId="28" fillId="0" borderId="1" xfId="1" applyNumberFormat="1" applyFont="1" applyBorder="1" applyAlignment="1">
      <alignment horizontal="center" vertical="center"/>
    </xf>
    <xf numFmtId="0" fontId="28" fillId="0" borderId="1" xfId="1" applyFont="1" applyBorder="1"/>
    <xf numFmtId="3" fontId="28" fillId="0" borderId="1" xfId="1" applyNumberFormat="1" applyFont="1" applyBorder="1" applyAlignment="1">
      <alignment horizontal="center" vertical="center"/>
    </xf>
    <xf numFmtId="3" fontId="28" fillId="11" borderId="1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left" vertical="center" wrapText="1"/>
    </xf>
    <xf numFmtId="3" fontId="28" fillId="0" borderId="0" xfId="1" applyNumberFormat="1" applyFont="1" applyAlignment="1">
      <alignment horizontal="center" vertical="center"/>
    </xf>
    <xf numFmtId="3" fontId="28" fillId="0" borderId="0" xfId="1" applyNumberFormat="1" applyFont="1"/>
    <xf numFmtId="0" fontId="15" fillId="0" borderId="0" xfId="1" applyFont="1" applyAlignment="1">
      <alignment horizontal="left" vertical="center"/>
    </xf>
    <xf numFmtId="0" fontId="41" fillId="0" borderId="0" xfId="1" applyFont="1" applyAlignment="1">
      <alignment vertical="center" wrapText="1"/>
    </xf>
    <xf numFmtId="0" fontId="16" fillId="0" borderId="0" xfId="1" applyFont="1" applyAlignment="1">
      <alignment horizontal="center" vertical="center" wrapText="1"/>
    </xf>
    <xf numFmtId="0" fontId="16" fillId="0" borderId="0" xfId="1" applyFont="1" applyAlignment="1">
      <alignment horizontal="center" vertical="center"/>
    </xf>
    <xf numFmtId="0" fontId="16" fillId="5" borderId="14" xfId="1" applyFont="1" applyFill="1" applyBorder="1" applyAlignment="1">
      <alignment horizontal="center" vertical="center" wrapText="1"/>
    </xf>
    <xf numFmtId="3" fontId="31" fillId="0" borderId="0" xfId="1" applyNumberFormat="1" applyFont="1" applyAlignment="1">
      <alignment horizontal="left" vertical="center" wrapText="1"/>
    </xf>
    <xf numFmtId="3" fontId="3" fillId="0" borderId="0" xfId="1" applyNumberFormat="1"/>
    <xf numFmtId="3" fontId="28" fillId="4" borderId="1" xfId="1" applyNumberFormat="1" applyFont="1" applyFill="1" applyBorder="1" applyAlignment="1">
      <alignment horizontal="center" vertical="center"/>
    </xf>
    <xf numFmtId="4" fontId="28" fillId="4" borderId="1" xfId="1" applyNumberFormat="1" applyFont="1" applyFill="1" applyBorder="1" applyAlignment="1">
      <alignment horizontal="center" vertical="center"/>
    </xf>
    <xf numFmtId="3" fontId="28" fillId="3" borderId="1" xfId="1" applyNumberFormat="1" applyFont="1" applyFill="1" applyBorder="1" applyAlignment="1">
      <alignment horizontal="center" vertical="center"/>
    </xf>
    <xf numFmtId="3" fontId="28" fillId="3" borderId="0" xfId="1" applyNumberFormat="1" applyFont="1" applyFill="1" applyAlignment="1">
      <alignment horizontal="center" vertical="center"/>
    </xf>
    <xf numFmtId="0" fontId="28" fillId="0" borderId="0" xfId="1" applyFont="1" applyAlignment="1">
      <alignment horizontal="center" vertical="center" wrapText="1"/>
    </xf>
    <xf numFmtId="0" fontId="31" fillId="0" borderId="0" xfId="1" applyFont="1" applyAlignment="1">
      <alignment horizontal="justify" vertical="center" wrapText="1"/>
    </xf>
    <xf numFmtId="3" fontId="28" fillId="12" borderId="1" xfId="1" applyNumberFormat="1" applyFont="1" applyFill="1" applyBorder="1" applyAlignment="1">
      <alignment horizontal="center" vertical="center"/>
    </xf>
    <xf numFmtId="4" fontId="28" fillId="12" borderId="1" xfId="1" applyNumberFormat="1" applyFont="1" applyFill="1" applyBorder="1" applyAlignment="1">
      <alignment horizontal="center" vertical="center"/>
    </xf>
    <xf numFmtId="0" fontId="28" fillId="4" borderId="1" xfId="1" applyFont="1" applyFill="1" applyBorder="1" applyAlignment="1">
      <alignment horizontal="center" vertical="center" wrapText="1"/>
    </xf>
    <xf numFmtId="0" fontId="28" fillId="4" borderId="1" xfId="1" applyFont="1" applyFill="1" applyBorder="1" applyAlignment="1">
      <alignment horizontal="center" vertical="center"/>
    </xf>
    <xf numFmtId="1" fontId="6" fillId="4" borderId="1" xfId="1" applyNumberFormat="1" applyFont="1" applyFill="1" applyBorder="1" applyAlignment="1">
      <alignment horizontal="center" vertical="center"/>
    </xf>
    <xf numFmtId="166" fontId="28" fillId="4" borderId="1" xfId="1" applyNumberFormat="1" applyFont="1" applyFill="1" applyBorder="1" applyAlignment="1">
      <alignment horizontal="center" vertical="center"/>
    </xf>
    <xf numFmtId="1" fontId="28" fillId="4" borderId="1" xfId="1" applyNumberFormat="1" applyFont="1" applyFill="1" applyBorder="1" applyAlignment="1">
      <alignment horizontal="center" vertical="center"/>
    </xf>
    <xf numFmtId="3" fontId="28" fillId="4" borderId="0" xfId="1" applyNumberFormat="1" applyFont="1" applyFill="1" applyAlignment="1">
      <alignment horizontal="center" vertical="center"/>
    </xf>
    <xf numFmtId="0" fontId="3" fillId="4" borderId="0" xfId="1" applyFill="1" applyAlignment="1">
      <alignment horizontal="center"/>
    </xf>
    <xf numFmtId="0" fontId="28" fillId="4" borderId="0" xfId="1" applyFont="1" applyFill="1" applyAlignment="1">
      <alignment horizontal="center" vertical="center" wrapText="1"/>
    </xf>
    <xf numFmtId="0" fontId="31" fillId="4" borderId="0" xfId="1" applyFont="1" applyFill="1" applyAlignment="1">
      <alignment horizontal="justify" vertical="center" wrapText="1"/>
    </xf>
    <xf numFmtId="3" fontId="28" fillId="4" borderId="0" xfId="1" applyNumberFormat="1" applyFont="1" applyFill="1" applyAlignment="1">
      <alignment horizontal="center" vertical="center" wrapText="1"/>
    </xf>
    <xf numFmtId="3" fontId="3" fillId="4" borderId="0" xfId="1" applyNumberFormat="1" applyFill="1" applyAlignment="1">
      <alignment horizontal="center" vertical="center" wrapText="1"/>
    </xf>
    <xf numFmtId="0" fontId="3" fillId="4" borderId="0" xfId="1" applyFill="1"/>
    <xf numFmtId="3" fontId="28" fillId="13" borderId="1" xfId="1" applyNumberFormat="1" applyFont="1" applyFill="1" applyBorder="1" applyAlignment="1">
      <alignment horizontal="center" vertical="center"/>
    </xf>
    <xf numFmtId="4" fontId="28" fillId="13" borderId="1" xfId="1" applyNumberFormat="1" applyFont="1" applyFill="1" applyBorder="1" applyAlignment="1">
      <alignment horizontal="center" vertical="center"/>
    </xf>
    <xf numFmtId="4" fontId="28" fillId="11" borderId="1" xfId="1" applyNumberFormat="1" applyFont="1" applyFill="1" applyBorder="1" applyAlignment="1">
      <alignment horizontal="center" vertical="center"/>
    </xf>
    <xf numFmtId="0" fontId="28" fillId="0" borderId="0" xfId="1" applyFont="1" applyAlignment="1">
      <alignment horizontal="justify" vertical="center" wrapText="1"/>
    </xf>
    <xf numFmtId="0" fontId="28" fillId="10" borderId="1" xfId="1" applyFont="1" applyFill="1" applyBorder="1" applyAlignment="1">
      <alignment horizontal="center" vertical="center" wrapText="1"/>
    </xf>
    <xf numFmtId="0" fontId="28" fillId="10" borderId="1" xfId="1" applyFont="1" applyFill="1" applyBorder="1" applyAlignment="1">
      <alignment horizontal="center" vertical="center"/>
    </xf>
    <xf numFmtId="1" fontId="6" fillId="10" borderId="1" xfId="1" applyNumberFormat="1" applyFont="1" applyFill="1" applyBorder="1" applyAlignment="1">
      <alignment horizontal="center" vertical="center"/>
    </xf>
    <xf numFmtId="166" fontId="28" fillId="10" borderId="1" xfId="1" applyNumberFormat="1" applyFont="1" applyFill="1" applyBorder="1" applyAlignment="1">
      <alignment horizontal="center" vertical="center"/>
    </xf>
    <xf numFmtId="1" fontId="28" fillId="10" borderId="1" xfId="1" applyNumberFormat="1" applyFont="1" applyFill="1" applyBorder="1" applyAlignment="1">
      <alignment horizontal="center" vertical="center"/>
    </xf>
    <xf numFmtId="3" fontId="28" fillId="14" borderId="1" xfId="1" applyNumberFormat="1" applyFont="1" applyFill="1" applyBorder="1" applyAlignment="1">
      <alignment horizontal="center" vertical="center"/>
    </xf>
    <xf numFmtId="4" fontId="28" fillId="14" borderId="1" xfId="1" applyNumberFormat="1" applyFont="1" applyFill="1" applyBorder="1" applyAlignment="1">
      <alignment horizontal="center" vertical="center"/>
    </xf>
    <xf numFmtId="0" fontId="29" fillId="0" borderId="0" xfId="1" applyFont="1" applyAlignment="1">
      <alignment horizontal="center" vertical="center"/>
    </xf>
    <xf numFmtId="3" fontId="31" fillId="4" borderId="1" xfId="1" applyNumberFormat="1" applyFont="1" applyFill="1" applyBorder="1" applyAlignment="1">
      <alignment horizontal="center" vertical="center" wrapText="1"/>
    </xf>
    <xf numFmtId="166" fontId="31" fillId="4" borderId="1" xfId="1" applyNumberFormat="1" applyFont="1" applyFill="1" applyBorder="1" applyAlignment="1">
      <alignment horizontal="center" vertical="center"/>
    </xf>
    <xf numFmtId="3" fontId="31" fillId="3" borderId="0" xfId="1" applyNumberFormat="1" applyFont="1" applyFill="1" applyAlignment="1">
      <alignment horizontal="center" vertical="center"/>
    </xf>
    <xf numFmtId="3" fontId="3" fillId="0" borderId="0" xfId="1" applyNumberFormat="1" applyAlignment="1">
      <alignment horizontal="center"/>
    </xf>
    <xf numFmtId="0" fontId="13" fillId="3" borderId="1" xfId="1" applyFont="1" applyFill="1" applyBorder="1" applyAlignment="1">
      <alignment horizontal="center" vertical="center"/>
    </xf>
    <xf numFmtId="0" fontId="13" fillId="3" borderId="0" xfId="1" applyFont="1" applyFill="1" applyAlignment="1">
      <alignment horizontal="center" vertical="center"/>
    </xf>
    <xf numFmtId="0" fontId="32" fillId="0" borderId="0" xfId="1" applyFont="1" applyAlignment="1">
      <alignment horizontal="center" vertical="center" wrapText="1"/>
    </xf>
    <xf numFmtId="0" fontId="32" fillId="0" borderId="0" xfId="1" applyFont="1" applyAlignment="1">
      <alignment horizontal="justify" vertical="center" wrapText="1"/>
    </xf>
    <xf numFmtId="3" fontId="32" fillId="0" borderId="0" xfId="1" applyNumberFormat="1" applyFont="1" applyAlignment="1">
      <alignment horizontal="center" vertical="center" wrapText="1"/>
    </xf>
    <xf numFmtId="1" fontId="31" fillId="4" borderId="1" xfId="1" applyNumberFormat="1" applyFont="1" applyFill="1" applyBorder="1" applyAlignment="1">
      <alignment horizontal="center" vertical="center"/>
    </xf>
    <xf numFmtId="0" fontId="31" fillId="4" borderId="1" xfId="1" applyFont="1" applyFill="1" applyBorder="1" applyAlignment="1">
      <alignment horizontal="center" vertical="center"/>
    </xf>
    <xf numFmtId="3" fontId="31" fillId="4" borderId="1" xfId="1" applyNumberFormat="1" applyFont="1" applyFill="1" applyBorder="1" applyAlignment="1">
      <alignment horizontal="center" vertical="center"/>
    </xf>
    <xf numFmtId="4" fontId="28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42" fillId="0" borderId="1" xfId="1" applyFont="1" applyBorder="1" applyAlignment="1">
      <alignment horizontal="left" vertical="center" wrapText="1"/>
    </xf>
    <xf numFmtId="0" fontId="42" fillId="0" borderId="2" xfId="1" applyFont="1" applyBorder="1" applyAlignment="1">
      <alignment horizontal="left" vertical="center" wrapText="1"/>
    </xf>
    <xf numFmtId="0" fontId="42" fillId="0" borderId="6" xfId="1" applyFont="1" applyBorder="1" applyAlignment="1">
      <alignment horizontal="left" vertical="center" wrapText="1"/>
    </xf>
    <xf numFmtId="0" fontId="32" fillId="0" borderId="1" xfId="1" applyFont="1" applyBorder="1" applyAlignment="1">
      <alignment horizontal="center" vertical="center" wrapText="1"/>
    </xf>
    <xf numFmtId="3" fontId="28" fillId="11" borderId="6" xfId="1" applyNumberFormat="1" applyFont="1" applyFill="1" applyBorder="1" applyAlignment="1">
      <alignment horizontal="center" vertical="center"/>
    </xf>
    <xf numFmtId="0" fontId="28" fillId="0" borderId="4" xfId="1" applyFont="1" applyBorder="1" applyAlignment="1">
      <alignment horizontal="center" vertical="center" wrapText="1"/>
    </xf>
    <xf numFmtId="0" fontId="32" fillId="0" borderId="20" xfId="1" applyFont="1" applyBorder="1" applyAlignment="1">
      <alignment horizontal="center" vertical="center" wrapText="1"/>
    </xf>
    <xf numFmtId="0" fontId="32" fillId="0" borderId="20" xfId="1" applyFont="1" applyBorder="1" applyAlignment="1">
      <alignment horizontal="justify" vertical="center" wrapText="1"/>
    </xf>
    <xf numFmtId="3" fontId="32" fillId="0" borderId="20" xfId="1" applyNumberFormat="1" applyFont="1" applyBorder="1" applyAlignment="1">
      <alignment horizontal="center" vertical="center" wrapText="1"/>
    </xf>
    <xf numFmtId="3" fontId="28" fillId="0" borderId="4" xfId="1" applyNumberFormat="1" applyFont="1" applyBorder="1"/>
    <xf numFmtId="3" fontId="28" fillId="0" borderId="4" xfId="1" applyNumberFormat="1" applyFont="1" applyBorder="1" applyAlignment="1">
      <alignment horizontal="center" vertical="center"/>
    </xf>
    <xf numFmtId="3" fontId="28" fillId="0" borderId="1" xfId="1" applyNumberFormat="1" applyFont="1" applyBorder="1"/>
    <xf numFmtId="0" fontId="3" fillId="0" borderId="0" xfId="1" applyAlignment="1">
      <alignment horizontal="center" vertical="center"/>
    </xf>
    <xf numFmtId="1" fontId="37" fillId="0" borderId="0" xfId="1" applyNumberFormat="1" applyFont="1" applyAlignment="1">
      <alignment horizontal="center" vertical="center"/>
    </xf>
    <xf numFmtId="166" fontId="3" fillId="0" borderId="0" xfId="1" applyNumberFormat="1" applyAlignment="1">
      <alignment horizontal="center" vertical="center"/>
    </xf>
    <xf numFmtId="1" fontId="3" fillId="0" borderId="0" xfId="1" applyNumberFormat="1" applyAlignment="1">
      <alignment horizontal="center" vertical="center"/>
    </xf>
    <xf numFmtId="3" fontId="3" fillId="10" borderId="0" xfId="1" applyNumberFormat="1" applyFill="1" applyAlignment="1">
      <alignment horizontal="center" vertical="center"/>
    </xf>
    <xf numFmtId="3" fontId="3" fillId="0" borderId="0" xfId="1" applyNumberFormat="1" applyAlignment="1">
      <alignment horizontal="center" vertical="center"/>
    </xf>
    <xf numFmtId="3" fontId="3" fillId="11" borderId="0" xfId="1" applyNumberFormat="1" applyFill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3" fontId="28" fillId="11" borderId="2" xfId="1" applyNumberFormat="1" applyFont="1" applyFill="1" applyBorder="1" applyAlignment="1">
      <alignment horizontal="center" vertical="center"/>
    </xf>
    <xf numFmtId="0" fontId="40" fillId="0" borderId="1" xfId="1" applyFont="1" applyBorder="1" applyAlignment="1">
      <alignment horizontal="center"/>
    </xf>
    <xf numFmtId="3" fontId="28" fillId="0" borderId="2" xfId="1" applyNumberFormat="1" applyFont="1" applyBorder="1" applyAlignment="1">
      <alignment horizontal="center" vertical="center"/>
    </xf>
    <xf numFmtId="0" fontId="43" fillId="5" borderId="1" xfId="1" applyFont="1" applyFill="1" applyBorder="1" applyAlignment="1">
      <alignment horizontal="center" vertical="center" wrapText="1"/>
    </xf>
    <xf numFmtId="0" fontId="44" fillId="5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wrapText="1"/>
    </xf>
    <xf numFmtId="3" fontId="4" fillId="0" borderId="1" xfId="1" applyNumberFormat="1" applyFont="1" applyBorder="1" applyAlignment="1">
      <alignment horizontal="center" wrapText="1"/>
    </xf>
    <xf numFmtId="3" fontId="45" fillId="0" borderId="1" xfId="1" applyNumberFormat="1" applyFont="1" applyBorder="1"/>
    <xf numFmtId="3" fontId="28" fillId="4" borderId="2" xfId="1" applyNumberFormat="1" applyFont="1" applyFill="1" applyBorder="1" applyAlignment="1">
      <alignment horizontal="center" vertical="center"/>
    </xf>
    <xf numFmtId="0" fontId="1" fillId="4" borderId="1" xfId="1" applyFont="1" applyFill="1" applyBorder="1" applyAlignment="1">
      <alignment horizontal="center" wrapText="1"/>
    </xf>
    <xf numFmtId="3" fontId="4" fillId="4" borderId="1" xfId="1" applyNumberFormat="1" applyFont="1" applyFill="1" applyBorder="1" applyAlignment="1">
      <alignment horizontal="center" wrapText="1"/>
    </xf>
    <xf numFmtId="3" fontId="45" fillId="4" borderId="1" xfId="1" applyNumberFormat="1" applyFont="1" applyFill="1" applyBorder="1"/>
    <xf numFmtId="3" fontId="3" fillId="4" borderId="0" xfId="1" applyNumberFormat="1" applyFill="1"/>
    <xf numFmtId="3" fontId="3" fillId="4" borderId="0" xfId="1" applyNumberFormat="1" applyFill="1" applyAlignment="1">
      <alignment horizontal="center" vertical="center"/>
    </xf>
    <xf numFmtId="0" fontId="29" fillId="0" borderId="1" xfId="1" applyFont="1" applyBorder="1" applyAlignment="1">
      <alignment horizontal="center" vertical="center"/>
    </xf>
    <xf numFmtId="3" fontId="28" fillId="4" borderId="1" xfId="1" applyNumberFormat="1" applyFont="1" applyFill="1" applyBorder="1" applyAlignment="1">
      <alignment horizontal="center" vertical="center" wrapText="1"/>
    </xf>
    <xf numFmtId="3" fontId="31" fillId="4" borderId="2" xfId="1" applyNumberFormat="1" applyFont="1" applyFill="1" applyBorder="1" applyAlignment="1">
      <alignment horizontal="center" vertical="center" wrapText="1"/>
    </xf>
    <xf numFmtId="3" fontId="31" fillId="0" borderId="1" xfId="1" applyNumberFormat="1" applyFont="1" applyBorder="1" applyAlignment="1">
      <alignment horizontal="center" vertical="center" wrapText="1"/>
    </xf>
    <xf numFmtId="3" fontId="28" fillId="12" borderId="2" xfId="1" applyNumberFormat="1" applyFont="1" applyFill="1" applyBorder="1" applyAlignment="1">
      <alignment horizontal="center" vertical="center"/>
    </xf>
    <xf numFmtId="1" fontId="3" fillId="0" borderId="0" xfId="1" applyNumberFormat="1"/>
    <xf numFmtId="3" fontId="28" fillId="13" borderId="2" xfId="1" applyNumberFormat="1" applyFont="1" applyFill="1" applyBorder="1" applyAlignment="1">
      <alignment horizontal="center" vertical="center"/>
    </xf>
    <xf numFmtId="0" fontId="29" fillId="3" borderId="1" xfId="1" applyFont="1" applyFill="1" applyBorder="1" applyAlignment="1">
      <alignment horizontal="center" vertical="center"/>
    </xf>
    <xf numFmtId="1" fontId="31" fillId="0" borderId="1" xfId="1" applyNumberFormat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38" fillId="0" borderId="1" xfId="1" applyFont="1" applyBorder="1" applyAlignment="1">
      <alignment horizontal="center"/>
    </xf>
    <xf numFmtId="3" fontId="28" fillId="14" borderId="2" xfId="1" applyNumberFormat="1" applyFont="1" applyFill="1" applyBorder="1" applyAlignment="1">
      <alignment horizontal="center" vertical="center"/>
    </xf>
    <xf numFmtId="1" fontId="31" fillId="4" borderId="2" xfId="1" applyNumberFormat="1" applyFont="1" applyFill="1" applyBorder="1" applyAlignment="1">
      <alignment horizontal="center" vertical="center"/>
    </xf>
    <xf numFmtId="3" fontId="3" fillId="3" borderId="0" xfId="1" applyNumberFormat="1" applyFill="1" applyAlignment="1">
      <alignment horizontal="center"/>
    </xf>
    <xf numFmtId="1" fontId="3" fillId="3" borderId="0" xfId="1" applyNumberFormat="1" applyFill="1" applyAlignment="1">
      <alignment horizontal="center"/>
    </xf>
    <xf numFmtId="0" fontId="12" fillId="12" borderId="1" xfId="1" applyFont="1" applyFill="1" applyBorder="1" applyAlignment="1">
      <alignment horizontal="center" vertical="center" wrapText="1"/>
    </xf>
    <xf numFmtId="0" fontId="11" fillId="12" borderId="1" xfId="1" applyFont="1" applyFill="1" applyBorder="1" applyAlignment="1">
      <alignment horizontal="center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0" fontId="13" fillId="0" borderId="0" xfId="1" applyFont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center" vertical="center" wrapText="1"/>
    </xf>
    <xf numFmtId="0" fontId="7" fillId="0" borderId="0" xfId="1" applyFont="1" applyAlignment="1">
      <alignment horizontal="justify" vertical="center" wrapText="1"/>
    </xf>
    <xf numFmtId="0" fontId="15" fillId="0" borderId="0" xfId="1" applyFont="1" applyAlignment="1">
      <alignment vertical="center" wrapText="1"/>
    </xf>
    <xf numFmtId="0" fontId="12" fillId="15" borderId="21" xfId="1" applyFont="1" applyFill="1" applyBorder="1" applyAlignment="1">
      <alignment horizontal="left" vertical="center"/>
    </xf>
    <xf numFmtId="0" fontId="12" fillId="15" borderId="22" xfId="1" applyFont="1" applyFill="1" applyBorder="1" applyAlignment="1">
      <alignment horizontal="center" vertical="center" wrapText="1"/>
    </xf>
    <xf numFmtId="0" fontId="12" fillId="15" borderId="21" xfId="1" applyFont="1" applyFill="1" applyBorder="1" applyAlignment="1">
      <alignment horizontal="center" vertical="center" wrapText="1"/>
    </xf>
    <xf numFmtId="3" fontId="8" fillId="3" borderId="1" xfId="1" applyNumberFormat="1" applyFont="1" applyFill="1" applyBorder="1" applyAlignment="1">
      <alignment horizontal="center"/>
    </xf>
    <xf numFmtId="0" fontId="11" fillId="0" borderId="1" xfId="1" applyFont="1" applyBorder="1" applyAlignment="1">
      <alignment vertical="center"/>
    </xf>
    <xf numFmtId="0" fontId="12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left" vertical="center" wrapText="1"/>
    </xf>
    <xf numFmtId="3" fontId="13" fillId="0" borderId="0" xfId="1" applyNumberFormat="1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13" fillId="0" borderId="13" xfId="1" applyFont="1" applyBorder="1" applyAlignment="1">
      <alignment horizontal="left" vertical="center"/>
    </xf>
    <xf numFmtId="0" fontId="46" fillId="0" borderId="18" xfId="1" applyFont="1" applyBorder="1" applyAlignment="1">
      <alignment horizontal="center" vertical="center" wrapText="1"/>
    </xf>
    <xf numFmtId="3" fontId="13" fillId="0" borderId="13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vertical="center"/>
    </xf>
    <xf numFmtId="3" fontId="13" fillId="0" borderId="1" xfId="1" applyNumberFormat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left" vertical="center" wrapText="1"/>
    </xf>
    <xf numFmtId="0" fontId="41" fillId="0" borderId="0" xfId="1" applyFont="1" applyAlignment="1">
      <alignment horizontal="center" vertical="center"/>
    </xf>
    <xf numFmtId="0" fontId="13" fillId="0" borderId="13" xfId="1" applyFont="1" applyBorder="1" applyAlignment="1">
      <alignment horizontal="center" vertical="center" wrapText="1"/>
    </xf>
    <xf numFmtId="3" fontId="8" fillId="16" borderId="1" xfId="1" applyNumberFormat="1" applyFont="1" applyFill="1" applyBorder="1" applyAlignment="1">
      <alignment horizontal="center"/>
    </xf>
    <xf numFmtId="4" fontId="13" fillId="0" borderId="1" xfId="1" applyNumberFormat="1" applyFont="1" applyBorder="1" applyAlignment="1">
      <alignment horizontal="center" vertical="center" wrapText="1"/>
    </xf>
    <xf numFmtId="3" fontId="27" fillId="0" borderId="0" xfId="1" applyNumberFormat="1" applyFont="1" applyAlignment="1">
      <alignment horizontal="center" vertical="center"/>
    </xf>
    <xf numFmtId="0" fontId="47" fillId="0" borderId="0" xfId="1" applyFont="1" applyAlignment="1">
      <alignment horizontal="center" vertical="center"/>
    </xf>
    <xf numFmtId="0" fontId="13" fillId="0" borderId="0" xfId="1" applyFont="1" applyAlignment="1">
      <alignment horizontal="left" vertical="center" wrapText="1"/>
    </xf>
    <xf numFmtId="3" fontId="12" fillId="17" borderId="1" xfId="1" applyNumberFormat="1" applyFont="1" applyFill="1" applyBorder="1" applyAlignment="1">
      <alignment horizontal="center" vertical="center"/>
    </xf>
    <xf numFmtId="3" fontId="11" fillId="17" borderId="1" xfId="1" applyNumberFormat="1" applyFont="1" applyFill="1" applyBorder="1" applyAlignment="1">
      <alignment horizontal="center" vertical="center" wrapText="1"/>
    </xf>
    <xf numFmtId="0" fontId="12" fillId="17" borderId="1" xfId="1" applyFont="1" applyFill="1" applyBorder="1" applyAlignment="1">
      <alignment horizontal="center" vertical="center"/>
    </xf>
    <xf numFmtId="0" fontId="3" fillId="0" borderId="1" xfId="1" applyBorder="1"/>
    <xf numFmtId="3" fontId="48" fillId="0" borderId="1" xfId="1" applyNumberFormat="1" applyFont="1" applyBorder="1" applyAlignment="1">
      <alignment horizontal="center" vertical="center" wrapText="1"/>
    </xf>
    <xf numFmtId="3" fontId="8" fillId="0" borderId="1" xfId="1" applyNumberFormat="1" applyFont="1" applyBorder="1"/>
    <xf numFmtId="4" fontId="8" fillId="0" borderId="1" xfId="1" applyNumberFormat="1" applyFont="1" applyBorder="1"/>
    <xf numFmtId="0" fontId="8" fillId="3" borderId="1" xfId="1" applyFont="1" applyFill="1" applyBorder="1" applyAlignment="1">
      <alignment horizontal="center"/>
    </xf>
    <xf numFmtId="0" fontId="8" fillId="0" borderId="1" xfId="1" applyFont="1" applyBorder="1"/>
    <xf numFmtId="3" fontId="30" fillId="4" borderId="1" xfId="1" applyNumberFormat="1" applyFont="1" applyFill="1" applyBorder="1" applyAlignment="1">
      <alignment horizontal="center" vertical="center" wrapText="1"/>
    </xf>
    <xf numFmtId="0" fontId="3" fillId="3" borderId="1" xfId="1" applyFill="1" applyBorder="1" applyAlignment="1">
      <alignment horizontal="center"/>
    </xf>
    <xf numFmtId="0" fontId="27" fillId="0" borderId="1" xfId="1" applyFont="1" applyBorder="1" applyAlignment="1">
      <alignment horizontal="center" vertical="center"/>
    </xf>
    <xf numFmtId="0" fontId="40" fillId="18" borderId="0" xfId="1" applyFont="1" applyFill="1"/>
    <xf numFmtId="0" fontId="12" fillId="2" borderId="21" xfId="1" applyFont="1" applyFill="1" applyBorder="1" applyAlignment="1">
      <alignment horizontal="left" vertical="center"/>
    </xf>
    <xf numFmtId="0" fontId="12" fillId="2" borderId="22" xfId="1" applyFont="1" applyFill="1" applyBorder="1" applyAlignment="1">
      <alignment horizontal="center" vertical="center" wrapText="1"/>
    </xf>
    <xf numFmtId="0" fontId="12" fillId="2" borderId="21" xfId="1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/>
    </xf>
    <xf numFmtId="3" fontId="13" fillId="0" borderId="0" xfId="1" applyNumberFormat="1" applyFont="1" applyAlignment="1">
      <alignment horizontal="left" vertical="center" wrapText="1"/>
    </xf>
    <xf numFmtId="0" fontId="15" fillId="5" borderId="1" xfId="1" applyFont="1" applyFill="1" applyBorder="1" applyAlignment="1">
      <alignment horizontal="center" vertical="center" wrapText="1"/>
    </xf>
    <xf numFmtId="0" fontId="16" fillId="5" borderId="1" xfId="1" applyFont="1" applyFill="1" applyBorder="1" applyAlignment="1">
      <alignment horizontal="center" vertical="center" wrapText="1"/>
    </xf>
    <xf numFmtId="0" fontId="33" fillId="0" borderId="1" xfId="1" applyFont="1" applyBorder="1" applyAlignment="1">
      <alignment horizontal="center" wrapText="1"/>
    </xf>
    <xf numFmtId="3" fontId="7" fillId="0" borderId="1" xfId="1" applyNumberFormat="1" applyFont="1" applyBorder="1" applyAlignment="1">
      <alignment horizontal="center" wrapText="1"/>
    </xf>
    <xf numFmtId="1" fontId="8" fillId="3" borderId="1" xfId="1" applyNumberFormat="1" applyFont="1" applyFill="1" applyBorder="1" applyAlignment="1">
      <alignment horizontal="center"/>
    </xf>
    <xf numFmtId="0" fontId="12" fillId="12" borderId="1" xfId="1" applyFont="1" applyFill="1" applyBorder="1" applyAlignment="1">
      <alignment horizontal="center" wrapText="1"/>
    </xf>
    <xf numFmtId="0" fontId="11" fillId="12" borderId="1" xfId="1" applyFont="1" applyFill="1" applyBorder="1" applyAlignment="1">
      <alignment horizontal="center" wrapText="1"/>
    </xf>
    <xf numFmtId="0" fontId="40" fillId="0" borderId="0" xfId="0" applyFont="1" applyAlignment="1">
      <alignment horizontal="center"/>
    </xf>
    <xf numFmtId="0" fontId="40" fillId="0" borderId="0" xfId="0" applyFont="1"/>
    <xf numFmtId="0" fontId="40" fillId="0" borderId="0" xfId="0" applyFont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10" borderId="6" xfId="0" applyFont="1" applyFill="1" applyBorder="1" applyAlignment="1">
      <alignment horizontal="center" vertical="center"/>
    </xf>
    <xf numFmtId="0" fontId="40" fillId="10" borderId="1" xfId="0" applyFont="1" applyFill="1" applyBorder="1" applyAlignment="1">
      <alignment horizontal="center" vertical="center"/>
    </xf>
    <xf numFmtId="0" fontId="40" fillId="3" borderId="1" xfId="0" applyFont="1" applyFill="1" applyBorder="1" applyAlignment="1">
      <alignment horizontal="center" vertical="center"/>
    </xf>
    <xf numFmtId="0" fontId="40" fillId="3" borderId="0" xfId="0" applyFont="1" applyFill="1" applyAlignment="1">
      <alignment horizontal="center" vertical="center"/>
    </xf>
    <xf numFmtId="0" fontId="40" fillId="0" borderId="1" xfId="0" applyFont="1" applyBorder="1" applyAlignment="1">
      <alignment horizontal="center"/>
    </xf>
    <xf numFmtId="0" fontId="40" fillId="0" borderId="1" xfId="0" applyFont="1" applyBorder="1"/>
    <xf numFmtId="0" fontId="49" fillId="4" borderId="1" xfId="0" applyFont="1" applyFill="1" applyBorder="1" applyAlignment="1">
      <alignment horizontal="center"/>
    </xf>
    <xf numFmtId="0" fontId="49" fillId="0" borderId="1" xfId="0" applyFont="1" applyBorder="1" applyAlignment="1">
      <alignment horizontal="center"/>
    </xf>
    <xf numFmtId="0" fontId="7" fillId="10" borderId="1" xfId="0" applyFont="1" applyFill="1" applyBorder="1" applyAlignment="1">
      <alignment horizontal="center" vertical="center"/>
    </xf>
    <xf numFmtId="167" fontId="40" fillId="10" borderId="1" xfId="0" applyNumberFormat="1" applyFont="1" applyFill="1" applyBorder="1" applyAlignment="1">
      <alignment horizontal="center" vertical="center"/>
    </xf>
    <xf numFmtId="167" fontId="40" fillId="3" borderId="1" xfId="0" applyNumberFormat="1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horizontal="center" vertical="center"/>
    </xf>
    <xf numFmtId="0" fontId="49" fillId="2" borderId="1" xfId="0" applyFont="1" applyFill="1" applyBorder="1" applyAlignment="1">
      <alignment horizontal="center" vertical="center"/>
    </xf>
    <xf numFmtId="0" fontId="49" fillId="4" borderId="1" xfId="0" applyFont="1" applyFill="1" applyBorder="1"/>
    <xf numFmtId="0" fontId="40" fillId="4" borderId="1" xfId="0" applyFont="1" applyFill="1" applyBorder="1"/>
    <xf numFmtId="1" fontId="40" fillId="3" borderId="1" xfId="0" applyNumberFormat="1" applyFont="1" applyFill="1" applyBorder="1" applyAlignment="1">
      <alignment horizontal="center" vertical="center"/>
    </xf>
    <xf numFmtId="0" fontId="40" fillId="10" borderId="1" xfId="0" applyFont="1" applyFill="1" applyBorder="1" applyAlignment="1">
      <alignment horizontal="center" vertical="center" wrapText="1"/>
    </xf>
    <xf numFmtId="0" fontId="49" fillId="10" borderId="1" xfId="0" applyFont="1" applyFill="1" applyBorder="1" applyAlignment="1">
      <alignment horizontal="center" vertical="center"/>
    </xf>
    <xf numFmtId="0" fontId="40" fillId="19" borderId="1" xfId="0" applyFont="1" applyFill="1" applyBorder="1" applyAlignment="1">
      <alignment horizontal="center" vertical="center"/>
    </xf>
    <xf numFmtId="0" fontId="40" fillId="19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40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/>
    </xf>
    <xf numFmtId="0" fontId="40" fillId="7" borderId="1" xfId="0" applyFont="1" applyFill="1" applyBorder="1" applyAlignment="1">
      <alignment horizontal="center" vertical="center"/>
    </xf>
    <xf numFmtId="0" fontId="40" fillId="7" borderId="1" xfId="0" applyFont="1" applyFill="1" applyBorder="1" applyAlignment="1">
      <alignment horizontal="center" vertical="center" wrapText="1"/>
    </xf>
    <xf numFmtId="0" fontId="49" fillId="19" borderId="1" xfId="0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center" vertical="center"/>
    </xf>
    <xf numFmtId="168" fontId="25" fillId="0" borderId="0" xfId="0" applyNumberFormat="1" applyFont="1" applyAlignment="1">
      <alignment horizontal="center" vertical="center"/>
    </xf>
    <xf numFmtId="164" fontId="23" fillId="0" borderId="1" xfId="0" quotePrefix="1" applyNumberFormat="1" applyFont="1" applyBorder="1" applyAlignment="1">
      <alignment horizontal="left" vertical="center" wrapText="1"/>
    </xf>
    <xf numFmtId="164" fontId="23" fillId="0" borderId="1" xfId="0" applyNumberFormat="1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3" fontId="20" fillId="0" borderId="1" xfId="0" applyNumberFormat="1" applyFont="1" applyBorder="1" applyAlignment="1">
      <alignment horizontal="left" vertical="center"/>
    </xf>
    <xf numFmtId="0" fontId="21" fillId="0" borderId="1" xfId="1" applyFont="1" applyBorder="1" applyAlignment="1">
      <alignment vertical="center" wrapText="1"/>
    </xf>
    <xf numFmtId="0" fontId="25" fillId="0" borderId="1" xfId="1" applyFont="1" applyBorder="1" applyAlignment="1">
      <alignment vertical="center" wrapText="1"/>
    </xf>
    <xf numFmtId="0" fontId="25" fillId="0" borderId="1" xfId="1" quotePrefix="1" applyFont="1" applyBorder="1" applyAlignment="1">
      <alignment vertical="center" wrapText="1"/>
    </xf>
    <xf numFmtId="0" fontId="23" fillId="0" borderId="1" xfId="0" quotePrefix="1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64" fontId="20" fillId="0" borderId="1" xfId="0" applyNumberFormat="1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justify" vertical="center" wrapText="1"/>
    </xf>
    <xf numFmtId="0" fontId="23" fillId="0" borderId="1" xfId="0" applyFont="1" applyBorder="1" applyAlignment="1">
      <alignment horizontal="justify" vertical="center"/>
    </xf>
    <xf numFmtId="0" fontId="23" fillId="0" borderId="1" xfId="0" applyFont="1" applyBorder="1" applyAlignment="1">
      <alignment horizontal="left" vertical="center"/>
    </xf>
    <xf numFmtId="3" fontId="20" fillId="0" borderId="1" xfId="0" applyNumberFormat="1" applyFont="1" applyBorder="1" applyAlignment="1">
      <alignment horizontal="center" vertical="center"/>
    </xf>
    <xf numFmtId="3" fontId="20" fillId="0" borderId="1" xfId="0" applyNumberFormat="1" applyFont="1" applyBorder="1" applyAlignment="1">
      <alignment horizontal="right" vertical="center"/>
    </xf>
    <xf numFmtId="0" fontId="21" fillId="0" borderId="4" xfId="1" applyFont="1" applyBorder="1" applyAlignment="1">
      <alignment horizontal="center" vertical="center" wrapText="1"/>
    </xf>
    <xf numFmtId="164" fontId="20" fillId="0" borderId="1" xfId="0" applyNumberFormat="1" applyFont="1" applyBorder="1" applyAlignment="1">
      <alignment horizontal="center" vertical="center"/>
    </xf>
    <xf numFmtId="0" fontId="25" fillId="0" borderId="4" xfId="1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165" fontId="23" fillId="0" borderId="1" xfId="0" applyNumberFormat="1" applyFont="1" applyBorder="1" applyAlignment="1">
      <alignment horizontal="center" vertical="center"/>
    </xf>
    <xf numFmtId="43" fontId="23" fillId="0" borderId="1" xfId="0" applyNumberFormat="1" applyFont="1" applyBorder="1" applyAlignment="1">
      <alignment horizontal="center" vertical="center"/>
    </xf>
    <xf numFmtId="169" fontId="23" fillId="0" borderId="1" xfId="0" applyNumberFormat="1" applyFont="1" applyBorder="1" applyAlignment="1">
      <alignment horizontal="center" vertical="center"/>
    </xf>
    <xf numFmtId="164" fontId="25" fillId="0" borderId="1" xfId="0" applyNumberFormat="1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1" fillId="0" borderId="2" xfId="1" applyFont="1" applyBorder="1" applyAlignment="1">
      <alignment horizontal="left" vertical="center" wrapText="1"/>
    </xf>
    <xf numFmtId="0" fontId="21" fillId="0" borderId="3" xfId="1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22" fillId="3" borderId="0" xfId="0" applyFont="1" applyFill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23" fillId="0" borderId="5" xfId="0" quotePrefix="1" applyFont="1" applyBorder="1" applyAlignment="1">
      <alignment horizontal="center" vertical="center" wrapText="1"/>
    </xf>
    <xf numFmtId="0" fontId="23" fillId="0" borderId="27" xfId="0" quotePrefix="1" applyFont="1" applyBorder="1" applyAlignment="1">
      <alignment horizontal="center" vertical="center" wrapText="1"/>
    </xf>
    <xf numFmtId="0" fontId="23" fillId="0" borderId="4" xfId="0" quotePrefix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wrapText="1"/>
    </xf>
    <xf numFmtId="0" fontId="12" fillId="8" borderId="1" xfId="0" applyFont="1" applyFill="1" applyBorder="1" applyAlignment="1">
      <alignment horizontal="justify" vertical="center" wrapText="1"/>
    </xf>
    <xf numFmtId="0" fontId="12" fillId="9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5" fillId="5" borderId="15" xfId="0" applyFont="1" applyFill="1" applyBorder="1" applyAlignment="1">
      <alignment horizontal="center" vertical="center" wrapText="1"/>
    </xf>
    <xf numFmtId="0" fontId="15" fillId="5" borderId="13" xfId="0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5" fillId="5" borderId="15" xfId="0" applyFont="1" applyFill="1" applyBorder="1" applyAlignment="1">
      <alignment horizontal="left" vertical="center"/>
    </xf>
    <xf numFmtId="0" fontId="15" fillId="5" borderId="13" xfId="0" applyFont="1" applyFill="1" applyBorder="1" applyAlignment="1">
      <alignment horizontal="left" vertical="center"/>
    </xf>
    <xf numFmtId="0" fontId="15" fillId="5" borderId="15" xfId="0" applyFont="1" applyFill="1" applyBorder="1" applyAlignment="1">
      <alignment horizontal="center" vertical="center"/>
    </xf>
    <xf numFmtId="0" fontId="15" fillId="5" borderId="13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justify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justify" vertical="center"/>
    </xf>
    <xf numFmtId="0" fontId="12" fillId="6" borderId="1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justify" vertical="center" wrapText="1"/>
    </xf>
    <xf numFmtId="166" fontId="28" fillId="0" borderId="1" xfId="1" applyNumberFormat="1" applyFont="1" applyBorder="1" applyAlignment="1">
      <alignment horizontal="center" vertical="center" wrapText="1"/>
    </xf>
    <xf numFmtId="1" fontId="28" fillId="0" borderId="1" xfId="1" applyNumberFormat="1" applyFont="1" applyBorder="1" applyAlignment="1">
      <alignment horizontal="center" vertical="center" wrapText="1"/>
    </xf>
    <xf numFmtId="0" fontId="28" fillId="0" borderId="1" xfId="1" applyFont="1" applyBorder="1" applyAlignment="1">
      <alignment horizontal="center" vertical="center" wrapText="1"/>
    </xf>
    <xf numFmtId="3" fontId="28" fillId="0" borderId="1" xfId="1" applyNumberFormat="1" applyFont="1" applyBorder="1" applyAlignment="1">
      <alignment horizontal="center" vertical="center" wrapText="1"/>
    </xf>
    <xf numFmtId="14" fontId="35" fillId="0" borderId="1" xfId="1" quotePrefix="1" applyNumberFormat="1" applyFont="1" applyBorder="1" applyAlignment="1">
      <alignment horizontal="center"/>
    </xf>
    <xf numFmtId="14" fontId="35" fillId="0" borderId="1" xfId="1" applyNumberFormat="1" applyFont="1" applyBorder="1" applyAlignment="1">
      <alignment horizontal="center"/>
    </xf>
    <xf numFmtId="14" fontId="35" fillId="0" borderId="5" xfId="1" applyNumberFormat="1" applyFont="1" applyBorder="1" applyAlignment="1">
      <alignment horizontal="center"/>
    </xf>
    <xf numFmtId="0" fontId="31" fillId="0" borderId="1" xfId="1" applyFont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31" fillId="0" borderId="1" xfId="1" applyFont="1" applyBorder="1" applyAlignment="1">
      <alignment horizontal="left" vertical="center" wrapText="1"/>
    </xf>
    <xf numFmtId="0" fontId="31" fillId="0" borderId="0" xfId="1" applyFont="1" applyAlignment="1">
      <alignment horizontal="left" vertical="center" wrapText="1"/>
    </xf>
    <xf numFmtId="0" fontId="17" fillId="0" borderId="0" xfId="1" applyFont="1" applyAlignment="1">
      <alignment horizontal="center" vertical="center"/>
    </xf>
    <xf numFmtId="3" fontId="28" fillId="0" borderId="0" xfId="1" applyNumberFormat="1" applyFont="1" applyAlignment="1">
      <alignment horizontal="center" vertical="center" wrapText="1"/>
    </xf>
    <xf numFmtId="0" fontId="31" fillId="0" borderId="0" xfId="1" applyFont="1" applyAlignment="1">
      <alignment horizontal="center" vertical="center" wrapText="1"/>
    </xf>
    <xf numFmtId="3" fontId="31" fillId="0" borderId="0" xfId="1" applyNumberFormat="1" applyFont="1" applyAlignment="1">
      <alignment horizontal="center" vertical="center" wrapText="1"/>
    </xf>
    <xf numFmtId="0" fontId="28" fillId="11" borderId="1" xfId="1" applyFont="1" applyFill="1" applyBorder="1" applyAlignment="1">
      <alignment horizontal="center" vertical="center" wrapText="1"/>
    </xf>
    <xf numFmtId="0" fontId="28" fillId="3" borderId="1" xfId="1" applyFont="1" applyFill="1" applyBorder="1" applyAlignment="1">
      <alignment horizontal="center" vertical="center" wrapText="1"/>
    </xf>
    <xf numFmtId="0" fontId="3" fillId="0" borderId="0" xfId="1" applyAlignment="1">
      <alignment horizontal="center"/>
    </xf>
    <xf numFmtId="0" fontId="28" fillId="0" borderId="1" xfId="1" applyFont="1" applyBorder="1" applyAlignment="1">
      <alignment horizontal="left" vertical="center" wrapText="1"/>
    </xf>
    <xf numFmtId="0" fontId="28" fillId="11" borderId="2" xfId="1" applyFont="1" applyFill="1" applyBorder="1" applyAlignment="1">
      <alignment horizontal="center" vertical="center" wrapText="1"/>
    </xf>
    <xf numFmtId="0" fontId="43" fillId="5" borderId="1" xfId="1" applyFont="1" applyFill="1" applyBorder="1" applyAlignment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0" fontId="42" fillId="0" borderId="1" xfId="1" applyFont="1" applyBorder="1" applyAlignment="1">
      <alignment horizontal="left" vertical="center" wrapText="1"/>
    </xf>
    <xf numFmtId="0" fontId="43" fillId="0" borderId="1" xfId="1" applyFont="1" applyBorder="1" applyAlignment="1">
      <alignment horizontal="center" vertical="center" wrapText="1"/>
    </xf>
    <xf numFmtId="0" fontId="32" fillId="0" borderId="1" xfId="1" applyFont="1" applyBorder="1" applyAlignment="1">
      <alignment horizontal="left" vertical="center" wrapText="1"/>
    </xf>
    <xf numFmtId="0" fontId="11" fillId="10" borderId="1" xfId="1" applyFont="1" applyFill="1" applyBorder="1" applyAlignment="1">
      <alignment horizontal="center"/>
    </xf>
    <xf numFmtId="0" fontId="28" fillId="4" borderId="1" xfId="1" applyFont="1" applyFill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 wrapText="1"/>
    </xf>
    <xf numFmtId="0" fontId="15" fillId="0" borderId="4" xfId="1" applyFont="1" applyBorder="1" applyAlignment="1">
      <alignment horizontal="center" vertical="center" wrapText="1"/>
    </xf>
    <xf numFmtId="0" fontId="15" fillId="5" borderId="23" xfId="1" applyFont="1" applyFill="1" applyBorder="1" applyAlignment="1">
      <alignment horizontal="center" vertical="center" wrapText="1"/>
    </xf>
    <xf numFmtId="0" fontId="15" fillId="5" borderId="24" xfId="1" applyFont="1" applyFill="1" applyBorder="1" applyAlignment="1">
      <alignment horizontal="center" vertical="center" wrapText="1"/>
    </xf>
    <xf numFmtId="0" fontId="15" fillId="5" borderId="25" xfId="1" applyFont="1" applyFill="1" applyBorder="1" applyAlignment="1">
      <alignment horizontal="center" vertical="center" wrapText="1"/>
    </xf>
    <xf numFmtId="0" fontId="15" fillId="5" borderId="26" xfId="1" applyFont="1" applyFill="1" applyBorder="1" applyAlignment="1">
      <alignment horizontal="center" vertical="center" wrapText="1"/>
    </xf>
    <xf numFmtId="0" fontId="15" fillId="5" borderId="1" xfId="1" applyFont="1" applyFill="1" applyBorder="1" applyAlignment="1">
      <alignment horizontal="center" vertical="center" wrapText="1"/>
    </xf>
    <xf numFmtId="0" fontId="3" fillId="0" borderId="19" xfId="1" applyBorder="1" applyAlignment="1">
      <alignment horizontal="center"/>
    </xf>
    <xf numFmtId="0" fontId="49" fillId="0" borderId="1" xfId="0" applyFont="1" applyBorder="1" applyAlignment="1">
      <alignment horizontal="left"/>
    </xf>
    <xf numFmtId="0" fontId="40" fillId="0" borderId="1" xfId="0" applyFont="1" applyBorder="1" applyAlignment="1">
      <alignment horizontal="center" vertical="center"/>
    </xf>
    <xf numFmtId="0" fontId="49" fillId="0" borderId="2" xfId="0" applyFont="1" applyBorder="1" applyAlignment="1">
      <alignment horizontal="left"/>
    </xf>
    <xf numFmtId="0" fontId="49" fillId="0" borderId="3" xfId="0" applyFont="1" applyBorder="1" applyAlignment="1">
      <alignment horizontal="left"/>
    </xf>
    <xf numFmtId="0" fontId="49" fillId="0" borderId="6" xfId="0" applyFont="1" applyBorder="1" applyAlignment="1">
      <alignment horizontal="left"/>
    </xf>
    <xf numFmtId="0" fontId="49" fillId="4" borderId="2" xfId="0" applyFont="1" applyFill="1" applyBorder="1" applyAlignment="1">
      <alignment horizontal="left"/>
    </xf>
    <xf numFmtId="0" fontId="49" fillId="4" borderId="3" xfId="0" applyFont="1" applyFill="1" applyBorder="1" applyAlignment="1">
      <alignment horizontal="left"/>
    </xf>
    <xf numFmtId="0" fontId="49" fillId="4" borderId="6" xfId="0" applyFont="1" applyFill="1" applyBorder="1" applyAlignment="1">
      <alignment horizontal="left"/>
    </xf>
    <xf numFmtId="0" fontId="49" fillId="10" borderId="1" xfId="0" applyFont="1" applyFill="1" applyBorder="1" applyAlignment="1">
      <alignment horizontal="center" vertical="center"/>
    </xf>
    <xf numFmtId="0" fontId="49" fillId="19" borderId="2" xfId="0" applyFont="1" applyFill="1" applyBorder="1" applyAlignment="1">
      <alignment horizontal="center" vertical="center"/>
    </xf>
    <xf numFmtId="0" fontId="49" fillId="19" borderId="3" xfId="0" applyFont="1" applyFill="1" applyBorder="1" applyAlignment="1">
      <alignment horizontal="center" vertical="center"/>
    </xf>
    <xf numFmtId="0" fontId="49" fillId="19" borderId="6" xfId="0" applyFont="1" applyFill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0" fontId="39" fillId="0" borderId="6" xfId="0" applyFont="1" applyBorder="1" applyAlignment="1">
      <alignment horizontal="center" vertical="center"/>
    </xf>
    <xf numFmtId="0" fontId="39" fillId="3" borderId="2" xfId="0" applyFont="1" applyFill="1" applyBorder="1" applyAlignment="1">
      <alignment horizontal="center" vertical="center"/>
    </xf>
    <xf numFmtId="0" fontId="39" fillId="3" borderId="3" xfId="0" applyFont="1" applyFill="1" applyBorder="1" applyAlignment="1">
      <alignment horizontal="center" vertical="center"/>
    </xf>
    <xf numFmtId="0" fontId="39" fillId="3" borderId="6" xfId="0" applyFont="1" applyFill="1" applyBorder="1" applyAlignment="1">
      <alignment horizontal="center" vertical="center"/>
    </xf>
    <xf numFmtId="0" fontId="40" fillId="10" borderId="2" xfId="0" applyFont="1" applyFill="1" applyBorder="1" applyAlignment="1">
      <alignment horizontal="left" vertical="center"/>
    </xf>
    <xf numFmtId="0" fontId="40" fillId="10" borderId="3" xfId="0" applyFont="1" applyFill="1" applyBorder="1" applyAlignment="1">
      <alignment horizontal="left" vertical="center"/>
    </xf>
    <xf numFmtId="0" fontId="40" fillId="10" borderId="6" xfId="0" applyFont="1" applyFill="1" applyBorder="1" applyAlignment="1">
      <alignment horizontal="left" vertical="center"/>
    </xf>
    <xf numFmtId="0" fontId="40" fillId="19" borderId="2" xfId="0" applyFont="1" applyFill="1" applyBorder="1" applyAlignment="1">
      <alignment horizontal="center" vertical="center"/>
    </xf>
    <xf numFmtId="0" fontId="40" fillId="19" borderId="3" xfId="0" applyFont="1" applyFill="1" applyBorder="1" applyAlignment="1">
      <alignment horizontal="center" vertical="center"/>
    </xf>
    <xf numFmtId="0" fontId="40" fillId="19" borderId="6" xfId="0" applyFont="1" applyFill="1" applyBorder="1" applyAlignment="1">
      <alignment horizontal="center" vertical="center"/>
    </xf>
    <xf numFmtId="0" fontId="40" fillId="7" borderId="1" xfId="0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horizontal="left"/>
    </xf>
  </cellXfs>
  <cellStyles count="4">
    <cellStyle name="Comma [0]" xfId="3" builtinId="6"/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colors>
    <mruColors>
      <color rgb="FF33CC33"/>
      <color rgb="FF009900"/>
      <color rgb="FF339966"/>
      <color rgb="FF339933"/>
      <color rgb="FF0080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9</xdr:row>
      <xdr:rowOff>153192</xdr:rowOff>
    </xdr:from>
    <xdr:to>
      <xdr:col>4</xdr:col>
      <xdr:colOff>848902</xdr:colOff>
      <xdr:row>15</xdr:row>
      <xdr:rowOff>89799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B2B261-B8F3-462A-A5F6-411393D84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" y="2606832"/>
          <a:ext cx="4597942" cy="10338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1"/>
  <sheetViews>
    <sheetView workbookViewId="0">
      <selection activeCell="E11" sqref="E11"/>
    </sheetView>
  </sheetViews>
  <sheetFormatPr defaultColWidth="8.81640625" defaultRowHeight="14.5" x14ac:dyDescent="0.35"/>
  <cols>
    <col min="2" max="3" width="11.81640625" customWidth="1"/>
    <col min="4" max="4" width="27.453125" customWidth="1"/>
    <col min="5" max="15" width="11.81640625" customWidth="1"/>
  </cols>
  <sheetData>
    <row r="1" spans="2:15" ht="15" thickBot="1" x14ac:dyDescent="0.4"/>
    <row r="2" spans="2:15" ht="15" x14ac:dyDescent="0.35">
      <c r="B2" s="385" t="s">
        <v>0</v>
      </c>
      <c r="C2" s="381" t="s">
        <v>27</v>
      </c>
      <c r="D2" s="381" t="s">
        <v>28</v>
      </c>
      <c r="E2" s="11" t="s">
        <v>29</v>
      </c>
      <c r="F2" s="381" t="s">
        <v>60</v>
      </c>
      <c r="G2" s="387" t="s">
        <v>61</v>
      </c>
      <c r="H2" s="12"/>
      <c r="I2" s="381" t="s">
        <v>62</v>
      </c>
      <c r="J2" s="381" t="s">
        <v>63</v>
      </c>
      <c r="K2" s="381" t="s">
        <v>64</v>
      </c>
      <c r="L2" s="381" t="s">
        <v>65</v>
      </c>
      <c r="M2" s="381" t="s">
        <v>66</v>
      </c>
      <c r="N2" s="381" t="s">
        <v>67</v>
      </c>
      <c r="O2" s="383" t="s">
        <v>68</v>
      </c>
    </row>
    <row r="3" spans="2:15" ht="15.5" thickBot="1" x14ac:dyDescent="0.4">
      <c r="B3" s="386"/>
      <c r="C3" s="382"/>
      <c r="D3" s="382"/>
      <c r="E3" s="13" t="s">
        <v>30</v>
      </c>
      <c r="F3" s="382"/>
      <c r="G3" s="388"/>
      <c r="H3" s="14"/>
      <c r="I3" s="382"/>
      <c r="J3" s="382"/>
      <c r="K3" s="382"/>
      <c r="L3" s="382"/>
      <c r="M3" s="382"/>
      <c r="N3" s="382"/>
      <c r="O3" s="384"/>
    </row>
    <row r="4" spans="2:15" ht="15.5" x14ac:dyDescent="0.35">
      <c r="B4" s="7" t="s">
        <v>24</v>
      </c>
      <c r="C4" s="379" t="s">
        <v>31</v>
      </c>
      <c r="D4" s="379"/>
      <c r="E4" s="379"/>
      <c r="F4" s="8"/>
      <c r="G4" s="9"/>
      <c r="H4" s="9"/>
      <c r="I4" s="8"/>
      <c r="J4" s="8"/>
      <c r="K4" s="10"/>
      <c r="L4" s="8"/>
      <c r="M4" s="8"/>
      <c r="N4" s="8"/>
      <c r="O4" s="8"/>
    </row>
    <row r="5" spans="2:15" ht="15.5" x14ac:dyDescent="0.35">
      <c r="B5" s="3">
        <v>1</v>
      </c>
      <c r="C5" s="3" t="s">
        <v>32</v>
      </c>
      <c r="D5" s="3" t="s">
        <v>33</v>
      </c>
      <c r="E5" s="3">
        <v>24.4</v>
      </c>
      <c r="F5" s="1">
        <v>55</v>
      </c>
      <c r="G5" s="2">
        <v>38</v>
      </c>
      <c r="H5" s="2" t="s">
        <v>118</v>
      </c>
      <c r="I5" s="1">
        <v>26.6</v>
      </c>
      <c r="J5" s="1">
        <v>11</v>
      </c>
      <c r="K5" s="1">
        <v>5</v>
      </c>
      <c r="L5" s="1">
        <v>42.9</v>
      </c>
      <c r="M5" s="1">
        <v>85.8</v>
      </c>
      <c r="N5" s="1">
        <v>40</v>
      </c>
      <c r="O5" s="1">
        <v>4</v>
      </c>
    </row>
    <row r="6" spans="2:15" ht="31" x14ac:dyDescent="0.35">
      <c r="B6" s="3">
        <v>2</v>
      </c>
      <c r="C6" s="3" t="s">
        <v>34</v>
      </c>
      <c r="D6" s="3" t="s">
        <v>35</v>
      </c>
      <c r="E6" s="3">
        <v>25.2</v>
      </c>
      <c r="F6" s="1">
        <v>55</v>
      </c>
      <c r="G6" s="2">
        <v>39</v>
      </c>
      <c r="H6" s="2" t="s">
        <v>118</v>
      </c>
      <c r="I6" s="1">
        <v>27.5</v>
      </c>
      <c r="J6" s="1">
        <v>12</v>
      </c>
      <c r="K6" s="1">
        <v>5</v>
      </c>
      <c r="L6" s="1">
        <v>44.1</v>
      </c>
      <c r="M6" s="1">
        <v>88.2</v>
      </c>
      <c r="N6" s="1">
        <v>40</v>
      </c>
      <c r="O6" s="1">
        <v>4</v>
      </c>
    </row>
    <row r="7" spans="2:15" ht="31" x14ac:dyDescent="0.35">
      <c r="B7" s="3">
        <v>3</v>
      </c>
      <c r="C7" s="3" t="s">
        <v>36</v>
      </c>
      <c r="D7" s="3" t="s">
        <v>69</v>
      </c>
      <c r="E7" s="3">
        <v>20</v>
      </c>
      <c r="F7" s="1">
        <v>55</v>
      </c>
      <c r="G7" s="2">
        <v>31</v>
      </c>
      <c r="H7" s="2" t="s">
        <v>118</v>
      </c>
      <c r="I7" s="1">
        <v>21.8</v>
      </c>
      <c r="J7" s="1">
        <v>9</v>
      </c>
      <c r="K7" s="1">
        <v>5</v>
      </c>
      <c r="L7" s="1">
        <v>36</v>
      </c>
      <c r="M7" s="1">
        <v>72.099999999999994</v>
      </c>
      <c r="N7" s="1">
        <v>60</v>
      </c>
      <c r="O7" s="1">
        <v>2</v>
      </c>
    </row>
    <row r="8" spans="2:15" ht="31" x14ac:dyDescent="0.35">
      <c r="B8" s="3">
        <v>4</v>
      </c>
      <c r="C8" s="3" t="s">
        <v>37</v>
      </c>
      <c r="D8" s="3" t="s">
        <v>38</v>
      </c>
      <c r="E8" s="3">
        <v>43.9</v>
      </c>
      <c r="F8" s="1">
        <v>55</v>
      </c>
      <c r="G8" s="2">
        <v>68</v>
      </c>
      <c r="H8" s="2" t="s">
        <v>118</v>
      </c>
      <c r="I8" s="1">
        <v>47.9</v>
      </c>
      <c r="J8" s="1">
        <v>20</v>
      </c>
      <c r="K8" s="1">
        <v>5</v>
      </c>
      <c r="L8" s="1">
        <v>73.2</v>
      </c>
      <c r="M8" s="1">
        <v>146.30000000000001</v>
      </c>
      <c r="N8" s="1">
        <v>60</v>
      </c>
      <c r="O8" s="1">
        <v>5</v>
      </c>
    </row>
    <row r="9" spans="2:15" ht="31" x14ac:dyDescent="0.35">
      <c r="B9" s="3">
        <v>5</v>
      </c>
      <c r="C9" s="3" t="s">
        <v>39</v>
      </c>
      <c r="D9" s="3" t="s">
        <v>40</v>
      </c>
      <c r="E9" s="3">
        <v>37</v>
      </c>
      <c r="F9" s="1">
        <v>55</v>
      </c>
      <c r="G9" s="2">
        <v>57</v>
      </c>
      <c r="H9" s="2" t="s">
        <v>118</v>
      </c>
      <c r="I9" s="1">
        <v>40.4</v>
      </c>
      <c r="J9" s="1">
        <v>17</v>
      </c>
      <c r="K9" s="1">
        <v>5</v>
      </c>
      <c r="L9" s="1">
        <v>62.4</v>
      </c>
      <c r="M9" s="1">
        <v>124.9</v>
      </c>
      <c r="N9" s="1">
        <v>60</v>
      </c>
      <c r="O9" s="1">
        <v>4</v>
      </c>
    </row>
    <row r="10" spans="2:15" ht="31" x14ac:dyDescent="0.35">
      <c r="B10" s="3">
        <v>6</v>
      </c>
      <c r="C10" s="3" t="s">
        <v>41</v>
      </c>
      <c r="D10" s="3" t="s">
        <v>42</v>
      </c>
      <c r="E10" s="3">
        <v>24.5</v>
      </c>
      <c r="F10" s="1">
        <v>55</v>
      </c>
      <c r="G10" s="2">
        <v>38</v>
      </c>
      <c r="H10" s="2" t="s">
        <v>118</v>
      </c>
      <c r="I10" s="1">
        <v>26.7</v>
      </c>
      <c r="J10" s="1">
        <v>11</v>
      </c>
      <c r="K10" s="1">
        <v>5</v>
      </c>
      <c r="L10" s="1">
        <v>43</v>
      </c>
      <c r="M10" s="1">
        <v>86.1</v>
      </c>
      <c r="N10" s="1">
        <v>40</v>
      </c>
      <c r="O10" s="1">
        <v>4</v>
      </c>
    </row>
    <row r="11" spans="2:15" ht="31" x14ac:dyDescent="0.35">
      <c r="B11" s="3">
        <v>7</v>
      </c>
      <c r="C11" s="3" t="s">
        <v>43</v>
      </c>
      <c r="D11" s="3" t="s">
        <v>44</v>
      </c>
      <c r="E11" s="3">
        <v>24.2</v>
      </c>
      <c r="F11" s="1">
        <v>55</v>
      </c>
      <c r="G11" s="2">
        <v>37</v>
      </c>
      <c r="H11" s="2" t="s">
        <v>118</v>
      </c>
      <c r="I11" s="1">
        <v>26.4</v>
      </c>
      <c r="J11" s="1">
        <v>11</v>
      </c>
      <c r="K11" s="1">
        <v>5</v>
      </c>
      <c r="L11" s="1">
        <v>42.6</v>
      </c>
      <c r="M11" s="1">
        <v>85.1</v>
      </c>
      <c r="N11" s="1">
        <v>40</v>
      </c>
      <c r="O11" s="1">
        <v>4</v>
      </c>
    </row>
    <row r="12" spans="2:15" ht="31" x14ac:dyDescent="0.35">
      <c r="B12" s="3">
        <v>8</v>
      </c>
      <c r="C12" s="3" t="s">
        <v>45</v>
      </c>
      <c r="D12" s="3" t="s">
        <v>46</v>
      </c>
      <c r="E12" s="3">
        <v>25.6</v>
      </c>
      <c r="F12" s="1">
        <v>55</v>
      </c>
      <c r="G12" s="2">
        <v>39</v>
      </c>
      <c r="H12" s="2" t="s">
        <v>118</v>
      </c>
      <c r="I12" s="1">
        <v>27.9</v>
      </c>
      <c r="J12" s="1">
        <v>12</v>
      </c>
      <c r="K12" s="1">
        <v>5</v>
      </c>
      <c r="L12" s="1">
        <v>44.7</v>
      </c>
      <c r="M12" s="1">
        <v>89.5</v>
      </c>
      <c r="N12" s="1">
        <v>40</v>
      </c>
      <c r="O12" s="1">
        <v>4</v>
      </c>
    </row>
    <row r="13" spans="2:15" ht="16.5" x14ac:dyDescent="0.35">
      <c r="B13" s="3">
        <v>9</v>
      </c>
      <c r="C13" s="3" t="s">
        <v>47</v>
      </c>
      <c r="D13" s="4" t="s">
        <v>70</v>
      </c>
      <c r="E13" s="3">
        <v>45</v>
      </c>
      <c r="F13" s="1">
        <v>55</v>
      </c>
      <c r="G13" s="2">
        <v>38</v>
      </c>
      <c r="H13" s="2" t="s">
        <v>118</v>
      </c>
      <c r="I13" s="1">
        <v>49.1</v>
      </c>
      <c r="J13" s="1">
        <v>11</v>
      </c>
      <c r="K13" s="1">
        <v>5</v>
      </c>
      <c r="L13" s="1">
        <v>65.3</v>
      </c>
      <c r="M13" s="1">
        <v>130.69999999999999</v>
      </c>
      <c r="N13" s="1">
        <v>120</v>
      </c>
      <c r="O13" s="1">
        <v>2</v>
      </c>
    </row>
    <row r="14" spans="2:15" ht="15.5" x14ac:dyDescent="0.35">
      <c r="B14" s="3">
        <v>10</v>
      </c>
      <c r="C14" s="3" t="s">
        <v>48</v>
      </c>
      <c r="D14" s="3" t="s">
        <v>49</v>
      </c>
      <c r="E14" s="3">
        <v>68</v>
      </c>
      <c r="F14" s="1">
        <v>50</v>
      </c>
      <c r="G14" s="2">
        <v>57</v>
      </c>
      <c r="H14" s="2"/>
      <c r="I14" s="1">
        <v>81.599999999999994</v>
      </c>
      <c r="J14" s="1">
        <v>17</v>
      </c>
      <c r="K14" s="1">
        <v>5</v>
      </c>
      <c r="L14" s="1">
        <v>103.6</v>
      </c>
      <c r="M14" s="1">
        <v>207.2</v>
      </c>
      <c r="N14" s="1">
        <v>120</v>
      </c>
      <c r="O14" s="1">
        <v>3</v>
      </c>
    </row>
    <row r="15" spans="2:15" ht="15.5" x14ac:dyDescent="0.35">
      <c r="B15" s="3">
        <v>11</v>
      </c>
      <c r="C15" s="3" t="s">
        <v>50</v>
      </c>
      <c r="D15" s="3" t="s">
        <v>71</v>
      </c>
      <c r="E15" s="3">
        <v>69</v>
      </c>
      <c r="F15" s="1">
        <v>50</v>
      </c>
      <c r="G15" s="2">
        <v>58</v>
      </c>
      <c r="H15" s="2"/>
      <c r="I15" s="1">
        <v>82.8</v>
      </c>
      <c r="J15" s="1">
        <v>17</v>
      </c>
      <c r="K15" s="1">
        <v>5</v>
      </c>
      <c r="L15" s="1">
        <v>105.1</v>
      </c>
      <c r="M15" s="1">
        <v>210.1</v>
      </c>
      <c r="N15" s="1">
        <v>120</v>
      </c>
      <c r="O15" s="1">
        <v>4</v>
      </c>
    </row>
    <row r="16" spans="2:15" ht="15.5" x14ac:dyDescent="0.35">
      <c r="B16" s="3">
        <v>12</v>
      </c>
      <c r="C16" s="3" t="s">
        <v>72</v>
      </c>
      <c r="D16" s="3" t="s">
        <v>73</v>
      </c>
      <c r="E16" s="5">
        <v>24.3</v>
      </c>
      <c r="F16" s="1">
        <v>55</v>
      </c>
      <c r="G16" s="2">
        <v>10</v>
      </c>
      <c r="H16" s="2"/>
      <c r="I16" s="1">
        <v>0</v>
      </c>
      <c r="J16" s="1">
        <v>3</v>
      </c>
      <c r="K16" s="1">
        <v>6</v>
      </c>
      <c r="L16" s="1">
        <v>0</v>
      </c>
      <c r="M16" s="1">
        <v>0</v>
      </c>
      <c r="N16" s="1">
        <v>121</v>
      </c>
      <c r="O16" s="1">
        <v>2</v>
      </c>
    </row>
    <row r="17" spans="2:15" ht="15.5" x14ac:dyDescent="0.35">
      <c r="B17" s="3" t="s">
        <v>26</v>
      </c>
      <c r="C17" s="380" t="s">
        <v>51</v>
      </c>
      <c r="D17" s="380"/>
      <c r="E17" s="3"/>
      <c r="F17" s="1"/>
      <c r="G17" s="3"/>
      <c r="H17" s="3"/>
      <c r="I17" s="1"/>
      <c r="J17" s="1"/>
      <c r="K17" s="1"/>
      <c r="L17" s="1"/>
      <c r="M17" s="1"/>
      <c r="N17" s="1"/>
      <c r="O17" s="3"/>
    </row>
    <row r="18" spans="2:15" ht="15.5" x14ac:dyDescent="0.35">
      <c r="B18" s="6">
        <v>13</v>
      </c>
      <c r="C18" s="3" t="s">
        <v>52</v>
      </c>
      <c r="D18" s="3" t="s">
        <v>74</v>
      </c>
      <c r="E18" s="3">
        <v>41</v>
      </c>
      <c r="F18" s="1">
        <v>50</v>
      </c>
      <c r="G18" s="2">
        <v>34</v>
      </c>
      <c r="H18" s="2"/>
      <c r="I18" s="1">
        <v>49.2</v>
      </c>
      <c r="J18" s="1">
        <v>10</v>
      </c>
      <c r="K18" s="1">
        <v>5</v>
      </c>
      <c r="L18" s="1">
        <v>64.5</v>
      </c>
      <c r="M18" s="1">
        <v>128.9</v>
      </c>
      <c r="N18" s="1">
        <v>120</v>
      </c>
      <c r="O18" s="1">
        <v>2</v>
      </c>
    </row>
    <row r="19" spans="2:15" ht="15.5" x14ac:dyDescent="0.35">
      <c r="B19" s="6">
        <v>14</v>
      </c>
      <c r="C19" s="3" t="s">
        <v>53</v>
      </c>
      <c r="D19" s="3" t="s">
        <v>54</v>
      </c>
      <c r="E19" s="3">
        <v>67</v>
      </c>
      <c r="F19" s="1">
        <v>50</v>
      </c>
      <c r="G19" s="2">
        <v>56</v>
      </c>
      <c r="H19" s="2"/>
      <c r="I19" s="1">
        <v>80.400000000000006</v>
      </c>
      <c r="J19" s="1">
        <v>17</v>
      </c>
      <c r="K19" s="1">
        <v>5</v>
      </c>
      <c r="L19" s="1">
        <v>102.2</v>
      </c>
      <c r="M19" s="1">
        <v>204.3</v>
      </c>
      <c r="N19" s="1">
        <v>120</v>
      </c>
      <c r="O19" s="1">
        <v>3</v>
      </c>
    </row>
    <row r="20" spans="2:15" ht="15.5" x14ac:dyDescent="0.35">
      <c r="B20" s="6">
        <v>15</v>
      </c>
      <c r="C20" s="3" t="s">
        <v>55</v>
      </c>
      <c r="D20" s="3" t="s">
        <v>56</v>
      </c>
      <c r="E20" s="3">
        <v>32</v>
      </c>
      <c r="F20" s="1">
        <v>50</v>
      </c>
      <c r="G20" s="2">
        <v>27</v>
      </c>
      <c r="H20" s="2"/>
      <c r="I20" s="1">
        <v>38.4</v>
      </c>
      <c r="J20" s="1">
        <v>8</v>
      </c>
      <c r="K20" s="1">
        <v>10</v>
      </c>
      <c r="L20" s="1">
        <v>56.4</v>
      </c>
      <c r="M20" s="1">
        <v>112.8</v>
      </c>
      <c r="N20" s="1">
        <v>120</v>
      </c>
      <c r="O20" s="1">
        <v>2</v>
      </c>
    </row>
    <row r="21" spans="2:15" ht="15.5" x14ac:dyDescent="0.35">
      <c r="B21" s="6">
        <v>16</v>
      </c>
      <c r="C21" s="3" t="s">
        <v>57</v>
      </c>
      <c r="D21" s="3" t="s">
        <v>58</v>
      </c>
      <c r="E21" s="3">
        <v>60</v>
      </c>
      <c r="F21" s="1">
        <v>50</v>
      </c>
      <c r="G21" s="2">
        <v>50</v>
      </c>
      <c r="H21" s="2"/>
      <c r="I21" s="1">
        <v>72</v>
      </c>
      <c r="J21" s="1">
        <v>15</v>
      </c>
      <c r="K21" s="1">
        <v>10</v>
      </c>
      <c r="L21" s="1">
        <v>97</v>
      </c>
      <c r="M21" s="1">
        <v>194</v>
      </c>
      <c r="N21" s="1">
        <v>120</v>
      </c>
      <c r="O21" s="1">
        <v>3</v>
      </c>
    </row>
  </sheetData>
  <mergeCells count="14">
    <mergeCell ref="M2:M3"/>
    <mergeCell ref="N2:N3"/>
    <mergeCell ref="O2:O3"/>
    <mergeCell ref="B2:B3"/>
    <mergeCell ref="C2:C3"/>
    <mergeCell ref="D2:D3"/>
    <mergeCell ref="F2:F3"/>
    <mergeCell ref="G2:G3"/>
    <mergeCell ref="I2:I3"/>
    <mergeCell ref="C4:E4"/>
    <mergeCell ref="C17:D17"/>
    <mergeCell ref="J2:J3"/>
    <mergeCell ref="K2:K3"/>
    <mergeCell ref="L2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9"/>
  <sheetViews>
    <sheetView tabSelected="1" zoomScale="130" zoomScaleNormal="130" workbookViewId="0">
      <pane ySplit="1" topLeftCell="A10" activePane="bottomLeft" state="frozen"/>
      <selection pane="bottomLeft" activeCell="F9" sqref="F9"/>
    </sheetView>
  </sheetViews>
  <sheetFormatPr defaultColWidth="8.81640625" defaultRowHeight="10.5" x14ac:dyDescent="0.35"/>
  <cols>
    <col min="1" max="1" width="4.7265625" style="80" customWidth="1"/>
    <col min="2" max="2" width="32.1796875" style="80" customWidth="1"/>
    <col min="3" max="3" width="7.1796875" style="80" customWidth="1"/>
    <col min="4" max="4" width="13.453125" style="85" customWidth="1"/>
    <col min="5" max="5" width="11.453125" style="85" customWidth="1"/>
    <col min="6" max="6" width="11.453125" style="80" customWidth="1"/>
    <col min="7" max="7" width="45.453125" style="86" customWidth="1"/>
    <col min="8" max="8" width="16.81640625" style="80" bestFit="1" customWidth="1"/>
    <col min="9" max="9" width="14.26953125" style="80" hidden="1" customWidth="1"/>
    <col min="10" max="10" width="14.7265625" style="80" hidden="1" customWidth="1"/>
    <col min="11" max="14" width="0" style="80" hidden="1" customWidth="1"/>
    <col min="15" max="16384" width="8.81640625" style="80"/>
  </cols>
  <sheetData>
    <row r="1" spans="1:8" ht="23.15" customHeight="1" x14ac:dyDescent="0.35">
      <c r="A1" s="344" t="s">
        <v>0</v>
      </c>
      <c r="B1" s="345" t="s">
        <v>1</v>
      </c>
      <c r="C1" s="344" t="s">
        <v>2</v>
      </c>
      <c r="D1" s="344" t="s">
        <v>21</v>
      </c>
      <c r="E1" s="344" t="s">
        <v>3</v>
      </c>
      <c r="F1" s="344" t="s">
        <v>4</v>
      </c>
      <c r="G1" s="346" t="s">
        <v>22</v>
      </c>
    </row>
    <row r="2" spans="1:8" ht="23.15" customHeight="1" x14ac:dyDescent="0.35">
      <c r="A2" s="344" t="s">
        <v>19</v>
      </c>
      <c r="B2" s="364" t="s">
        <v>293</v>
      </c>
      <c r="C2" s="344"/>
      <c r="D2" s="344"/>
      <c r="E2" s="344"/>
      <c r="F2" s="344"/>
      <c r="G2" s="346"/>
    </row>
    <row r="3" spans="1:8" ht="15.75" customHeight="1" x14ac:dyDescent="0.35">
      <c r="A3" s="347" t="s">
        <v>11</v>
      </c>
      <c r="B3" s="367" t="s">
        <v>5</v>
      </c>
      <c r="C3" s="368"/>
      <c r="D3" s="368"/>
      <c r="E3" s="368"/>
      <c r="F3" s="348">
        <f>SUM(F4:F8)</f>
        <v>62750</v>
      </c>
      <c r="G3" s="349"/>
    </row>
    <row r="4" spans="1:8" ht="21" x14ac:dyDescent="0.35">
      <c r="A4" s="350">
        <v>1</v>
      </c>
      <c r="B4" s="351" t="s">
        <v>15</v>
      </c>
      <c r="C4" s="350"/>
      <c r="D4" s="334"/>
      <c r="E4" s="334"/>
      <c r="F4" s="334"/>
      <c r="G4" s="336" t="s">
        <v>119</v>
      </c>
    </row>
    <row r="5" spans="1:8" x14ac:dyDescent="0.35">
      <c r="A5" s="350" t="s">
        <v>16</v>
      </c>
      <c r="B5" s="351" t="s">
        <v>7</v>
      </c>
      <c r="C5" s="350" t="s">
        <v>6</v>
      </c>
      <c r="D5" s="334">
        <f>D6*0.3</f>
        <v>75</v>
      </c>
      <c r="E5" s="334">
        <v>120</v>
      </c>
      <c r="F5" s="334">
        <f>D5*E5</f>
        <v>9000</v>
      </c>
      <c r="G5" s="337"/>
    </row>
    <row r="6" spans="1:8" x14ac:dyDescent="0.35">
      <c r="A6" s="350" t="s">
        <v>17</v>
      </c>
      <c r="B6" s="351" t="s">
        <v>18</v>
      </c>
      <c r="C6" s="350" t="s">
        <v>6</v>
      </c>
      <c r="D6" s="334">
        <v>250</v>
      </c>
      <c r="E6" s="334">
        <v>5</v>
      </c>
      <c r="F6" s="334">
        <f>D6*E6</f>
        <v>1250</v>
      </c>
      <c r="G6" s="337"/>
    </row>
    <row r="7" spans="1:8" ht="35.5" customHeight="1" x14ac:dyDescent="0.35">
      <c r="A7" s="350">
        <v>2</v>
      </c>
      <c r="B7" s="351" t="s">
        <v>122</v>
      </c>
      <c r="C7" s="350" t="s">
        <v>14</v>
      </c>
      <c r="D7" s="334">
        <f>3000+2100</f>
        <v>5100</v>
      </c>
      <c r="E7" s="334">
        <v>10</v>
      </c>
      <c r="F7" s="334">
        <f>D7*E7</f>
        <v>51000</v>
      </c>
      <c r="G7" s="337" t="s">
        <v>133</v>
      </c>
      <c r="H7" s="80" t="s">
        <v>190</v>
      </c>
    </row>
    <row r="8" spans="1:8" ht="26.5" customHeight="1" x14ac:dyDescent="0.35">
      <c r="A8" s="350">
        <v>3</v>
      </c>
      <c r="B8" s="352" t="s">
        <v>13</v>
      </c>
      <c r="C8" s="350" t="s">
        <v>6</v>
      </c>
      <c r="D8" s="334">
        <v>300</v>
      </c>
      <c r="E8" s="334">
        <v>5</v>
      </c>
      <c r="F8" s="334">
        <f>D8*E8</f>
        <v>1500</v>
      </c>
      <c r="G8" s="363" t="s">
        <v>289</v>
      </c>
    </row>
    <row r="9" spans="1:8" ht="13" customHeight="1" x14ac:dyDescent="0.35">
      <c r="A9" s="347" t="s">
        <v>10</v>
      </c>
      <c r="B9" s="369" t="s">
        <v>12</v>
      </c>
      <c r="C9" s="370"/>
      <c r="D9" s="370"/>
      <c r="E9" s="370"/>
      <c r="F9" s="348">
        <f>SUM(F10:F10)</f>
        <v>91000</v>
      </c>
      <c r="G9" s="338"/>
    </row>
    <row r="10" spans="1:8" ht="24" customHeight="1" x14ac:dyDescent="0.35">
      <c r="A10" s="350">
        <v>1</v>
      </c>
      <c r="B10" s="353" t="s">
        <v>8</v>
      </c>
      <c r="C10" s="350" t="s">
        <v>9</v>
      </c>
      <c r="D10" s="334">
        <v>35</v>
      </c>
      <c r="E10" s="334">
        <v>2600</v>
      </c>
      <c r="F10" s="334">
        <f>D10*E10</f>
        <v>91000</v>
      </c>
      <c r="G10" s="337" t="s">
        <v>23</v>
      </c>
    </row>
    <row r="11" spans="1:8" s="81" customFormat="1" ht="13" customHeight="1" x14ac:dyDescent="0.35">
      <c r="A11" s="347" t="s">
        <v>20</v>
      </c>
      <c r="B11" s="364" t="s">
        <v>294</v>
      </c>
      <c r="C11" s="347"/>
      <c r="D11" s="347"/>
      <c r="E11" s="354"/>
      <c r="F11" s="355"/>
      <c r="G11" s="339"/>
    </row>
    <row r="12" spans="1:8" s="82" customFormat="1" ht="14.25" customHeight="1" x14ac:dyDescent="0.35">
      <c r="A12" s="356" t="s">
        <v>24</v>
      </c>
      <c r="B12" s="365" t="s">
        <v>283</v>
      </c>
      <c r="C12" s="366"/>
      <c r="D12" s="366"/>
      <c r="E12" s="366"/>
      <c r="F12" s="357">
        <f>F13+F14</f>
        <v>30135</v>
      </c>
      <c r="G12" s="340"/>
    </row>
    <row r="13" spans="1:8" s="82" customFormat="1" ht="40.5" customHeight="1" x14ac:dyDescent="0.35">
      <c r="A13" s="358">
        <v>1</v>
      </c>
      <c r="B13" s="341" t="s">
        <v>25</v>
      </c>
      <c r="C13" s="359" t="s">
        <v>171</v>
      </c>
      <c r="D13" s="334"/>
      <c r="E13" s="360"/>
      <c r="F13" s="361">
        <f>(F3*70%*10%*70%)*4</f>
        <v>12299</v>
      </c>
      <c r="G13" s="341" t="s">
        <v>297</v>
      </c>
    </row>
    <row r="14" spans="1:8" s="82" customFormat="1" ht="57" customHeight="1" x14ac:dyDescent="0.35">
      <c r="A14" s="358">
        <v>2</v>
      </c>
      <c r="B14" s="341" t="s">
        <v>176</v>
      </c>
      <c r="C14" s="359" t="s">
        <v>171</v>
      </c>
      <c r="D14" s="334"/>
      <c r="E14" s="360"/>
      <c r="F14" s="334">
        <f>((F10)*70%*10%*70%)*4</f>
        <v>17836</v>
      </c>
      <c r="G14" s="341" t="s">
        <v>298</v>
      </c>
    </row>
    <row r="15" spans="1:8" s="82" customFormat="1" ht="31.5" customHeight="1" x14ac:dyDescent="0.35">
      <c r="A15" s="356" t="s">
        <v>26</v>
      </c>
      <c r="B15" s="365" t="s">
        <v>291</v>
      </c>
      <c r="C15" s="366"/>
      <c r="D15" s="366"/>
      <c r="E15" s="366"/>
      <c r="F15" s="357">
        <f>F17</f>
        <v>144019.78536959997</v>
      </c>
      <c r="G15" s="342"/>
    </row>
    <row r="16" spans="1:8" s="82" customFormat="1" ht="27.75" customHeight="1" x14ac:dyDescent="0.35">
      <c r="A16" s="358">
        <v>1</v>
      </c>
      <c r="B16" s="342" t="s">
        <v>168</v>
      </c>
      <c r="C16" s="359" t="s">
        <v>169</v>
      </c>
      <c r="D16" s="334">
        <f>'Mạng lướii'!M3*4</f>
        <v>13429670.399999999</v>
      </c>
      <c r="E16" s="360"/>
      <c r="F16" s="334">
        <f>D16*E16</f>
        <v>0</v>
      </c>
      <c r="G16" s="343"/>
    </row>
    <row r="17" spans="1:15" s="82" customFormat="1" ht="29.15" customHeight="1" x14ac:dyDescent="0.35">
      <c r="A17" s="359"/>
      <c r="B17" s="342" t="s">
        <v>121</v>
      </c>
      <c r="C17" s="359" t="s">
        <v>171</v>
      </c>
      <c r="D17" s="334"/>
      <c r="E17" s="360">
        <f>J25/1000000</f>
        <v>1.0723999999999999E-2</v>
      </c>
      <c r="F17" s="334">
        <f>D16*E17</f>
        <v>144019.78536959997</v>
      </c>
      <c r="G17" s="343" t="s">
        <v>200</v>
      </c>
      <c r="I17" s="371" t="s">
        <v>195</v>
      </c>
      <c r="J17" s="371"/>
      <c r="K17" s="371"/>
      <c r="L17" s="371"/>
      <c r="M17" s="371"/>
      <c r="N17" s="371"/>
      <c r="O17" s="371"/>
    </row>
    <row r="18" spans="1:15" s="82" customFormat="1" ht="22" hidden="1" customHeight="1" x14ac:dyDescent="0.35">
      <c r="A18" s="359"/>
      <c r="B18" s="342" t="s">
        <v>170</v>
      </c>
      <c r="C18" s="359" t="s">
        <v>171</v>
      </c>
      <c r="D18" s="334"/>
      <c r="E18" s="334"/>
      <c r="F18" s="334">
        <f>F17/4</f>
        <v>36004.946342399991</v>
      </c>
      <c r="G18" s="343"/>
      <c r="I18" s="78" t="s">
        <v>196</v>
      </c>
      <c r="J18" s="83">
        <v>1771408</v>
      </c>
    </row>
    <row r="19" spans="1:15" s="82" customFormat="1" ht="22" hidden="1" customHeight="1" x14ac:dyDescent="0.35">
      <c r="A19" s="359"/>
      <c r="B19" s="342" t="s">
        <v>172</v>
      </c>
      <c r="C19" s="359" t="s">
        <v>171</v>
      </c>
      <c r="D19" s="334"/>
      <c r="E19" s="334"/>
      <c r="F19" s="334">
        <f>F18/13</f>
        <v>2769.6112571076915</v>
      </c>
      <c r="G19" s="343"/>
      <c r="I19" s="78" t="s">
        <v>197</v>
      </c>
      <c r="J19" s="83">
        <v>63490</v>
      </c>
    </row>
    <row r="20" spans="1:15" s="82" customFormat="1" ht="31.5" customHeight="1" x14ac:dyDescent="0.35">
      <c r="A20" s="356" t="s">
        <v>120</v>
      </c>
      <c r="B20" s="365" t="s">
        <v>292</v>
      </c>
      <c r="C20" s="366"/>
      <c r="D20" s="366"/>
      <c r="E20" s="366"/>
      <c r="F20" s="357">
        <f>F21+F22+F23</f>
        <v>660</v>
      </c>
      <c r="G20" s="342"/>
    </row>
    <row r="21" spans="1:15" s="82" customFormat="1" ht="42" customHeight="1" x14ac:dyDescent="0.35">
      <c r="A21" s="359">
        <v>1</v>
      </c>
      <c r="B21" s="342" t="s">
        <v>286</v>
      </c>
      <c r="C21" s="359" t="s">
        <v>287</v>
      </c>
      <c r="D21" s="335">
        <v>4500</v>
      </c>
      <c r="E21" s="362">
        <v>0.2</v>
      </c>
      <c r="F21" s="334">
        <f>D21*E21/2</f>
        <v>450</v>
      </c>
      <c r="G21" s="376" t="s">
        <v>290</v>
      </c>
      <c r="I21" s="78"/>
      <c r="J21" s="83"/>
    </row>
    <row r="22" spans="1:15" s="82" customFormat="1" ht="32.25" customHeight="1" x14ac:dyDescent="0.35">
      <c r="A22" s="359">
        <v>2</v>
      </c>
      <c r="B22" s="342" t="s">
        <v>288</v>
      </c>
      <c r="C22" s="359" t="s">
        <v>285</v>
      </c>
      <c r="D22" s="334">
        <v>10000</v>
      </c>
      <c r="E22" s="360">
        <v>1.4999999999999999E-2</v>
      </c>
      <c r="F22" s="362">
        <f>D22*E22/2</f>
        <v>75</v>
      </c>
      <c r="G22" s="377"/>
      <c r="I22" s="78"/>
      <c r="J22" s="83"/>
    </row>
    <row r="23" spans="1:15" s="82" customFormat="1" ht="32.25" customHeight="1" x14ac:dyDescent="0.35">
      <c r="A23" s="359">
        <v>3</v>
      </c>
      <c r="B23" s="342" t="s">
        <v>284</v>
      </c>
      <c r="C23" s="359" t="s">
        <v>285</v>
      </c>
      <c r="D23" s="334">
        <v>9000</v>
      </c>
      <c r="E23" s="360">
        <v>1.4999999999999999E-2</v>
      </c>
      <c r="F23" s="362">
        <f>D23*E23</f>
        <v>135</v>
      </c>
      <c r="G23" s="378"/>
      <c r="I23" s="78"/>
      <c r="J23" s="83"/>
    </row>
    <row r="24" spans="1:15" ht="22" customHeight="1" x14ac:dyDescent="0.35">
      <c r="A24" s="372" t="s">
        <v>295</v>
      </c>
      <c r="B24" s="373"/>
      <c r="C24" s="373"/>
      <c r="D24" s="373"/>
      <c r="E24" s="374"/>
      <c r="F24" s="355">
        <f>F12+F15+F20</f>
        <v>174814.78536959997</v>
      </c>
      <c r="G24" s="339"/>
      <c r="I24" s="79" t="s">
        <v>198</v>
      </c>
      <c r="J24" s="84">
        <v>18996378081</v>
      </c>
    </row>
    <row r="25" spans="1:15" ht="22" customHeight="1" x14ac:dyDescent="0.35">
      <c r="A25" s="372" t="s">
        <v>296</v>
      </c>
      <c r="B25" s="372"/>
      <c r="C25" s="372"/>
      <c r="D25" s="372"/>
      <c r="E25" s="372"/>
      <c r="F25" s="355">
        <f>F24/4</f>
        <v>43703.696342399991</v>
      </c>
      <c r="G25" s="339"/>
      <c r="I25" s="79" t="s">
        <v>199</v>
      </c>
      <c r="J25" s="84">
        <f>ROUND(J24/J18,0)</f>
        <v>10724</v>
      </c>
    </row>
    <row r="26" spans="1:15" ht="22" hidden="1" customHeight="1" x14ac:dyDescent="0.35">
      <c r="A26" s="375"/>
      <c r="B26" s="375"/>
      <c r="C26" s="375"/>
      <c r="D26" s="375"/>
      <c r="E26" s="375"/>
      <c r="F26" s="43"/>
      <c r="G26" s="44"/>
    </row>
    <row r="27" spans="1:15" ht="22" hidden="1" customHeight="1" x14ac:dyDescent="0.35">
      <c r="A27" s="375"/>
      <c r="B27" s="375"/>
      <c r="C27" s="375"/>
      <c r="D27" s="375"/>
      <c r="E27" s="375"/>
      <c r="F27" s="43"/>
      <c r="G27" s="44"/>
    </row>
    <row r="29" spans="1:15" x14ac:dyDescent="0.35">
      <c r="B29" s="87"/>
    </row>
  </sheetData>
  <mergeCells count="11">
    <mergeCell ref="G21:G23"/>
    <mergeCell ref="A24:E24"/>
    <mergeCell ref="A25:E25"/>
    <mergeCell ref="A26:E26"/>
    <mergeCell ref="A27:E27"/>
    <mergeCell ref="B20:E20"/>
    <mergeCell ref="B15:E15"/>
    <mergeCell ref="B3:E3"/>
    <mergeCell ref="B9:E9"/>
    <mergeCell ref="B12:E12"/>
    <mergeCell ref="I17:O17"/>
  </mergeCells>
  <pageMargins left="0.19" right="0.14000000000000001" top="0.32" bottom="0.25" header="0.3" footer="0.3"/>
  <pageSetup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9"/>
  <sheetViews>
    <sheetView zoomScale="115" zoomScaleNormal="115" workbookViewId="0">
      <selection activeCell="C25" sqref="C25"/>
    </sheetView>
  </sheetViews>
  <sheetFormatPr defaultColWidth="8.81640625" defaultRowHeight="14.5" x14ac:dyDescent="0.35"/>
  <cols>
    <col min="3" max="3" width="31.7265625" customWidth="1"/>
    <col min="4" max="4" width="8.81640625" style="33"/>
    <col min="5" max="10" width="14.1796875" customWidth="1"/>
    <col min="11" max="11" width="15.7265625" bestFit="1" customWidth="1"/>
    <col min="12" max="12" width="13.453125" customWidth="1"/>
    <col min="13" max="13" width="21.81640625" customWidth="1"/>
  </cols>
  <sheetData>
    <row r="1" spans="1:15" ht="37" customHeight="1" x14ac:dyDescent="0.35">
      <c r="A1" s="392" t="s">
        <v>0</v>
      </c>
      <c r="B1" s="392" t="s">
        <v>128</v>
      </c>
      <c r="C1" s="392" t="s">
        <v>28</v>
      </c>
      <c r="D1" s="393" t="s">
        <v>173</v>
      </c>
      <c r="E1" s="392" t="s">
        <v>60</v>
      </c>
      <c r="F1" s="392" t="s">
        <v>61</v>
      </c>
      <c r="G1" s="392" t="s">
        <v>65</v>
      </c>
      <c r="H1" s="392" t="s">
        <v>66</v>
      </c>
      <c r="I1" s="392" t="s">
        <v>134</v>
      </c>
      <c r="J1" s="392" t="s">
        <v>68</v>
      </c>
      <c r="K1" s="392" t="s">
        <v>161</v>
      </c>
      <c r="L1" s="392" t="s">
        <v>166</v>
      </c>
      <c r="M1" s="392" t="s">
        <v>167</v>
      </c>
      <c r="N1" s="389" t="s">
        <v>201</v>
      </c>
    </row>
    <row r="2" spans="1:15" ht="37" customHeight="1" x14ac:dyDescent="0.35">
      <c r="A2" s="392"/>
      <c r="B2" s="392"/>
      <c r="C2" s="392"/>
      <c r="D2" s="394"/>
      <c r="E2" s="392"/>
      <c r="F2" s="392"/>
      <c r="G2" s="392"/>
      <c r="H2" s="392"/>
      <c r="I2" s="392"/>
      <c r="J2" s="392"/>
      <c r="K2" s="392"/>
      <c r="L2" s="392"/>
      <c r="M2" s="392"/>
      <c r="N2" s="389"/>
    </row>
    <row r="3" spans="1:15" ht="22" customHeight="1" x14ac:dyDescent="0.35">
      <c r="A3" s="34" t="s">
        <v>24</v>
      </c>
      <c r="B3" s="390" t="s">
        <v>31</v>
      </c>
      <c r="C3" s="390"/>
      <c r="D3" s="35"/>
      <c r="E3" s="35"/>
      <c r="F3" s="35"/>
      <c r="G3" s="35"/>
      <c r="H3" s="35"/>
      <c r="I3" s="35"/>
      <c r="J3" s="35"/>
      <c r="K3" s="36"/>
      <c r="L3" s="37">
        <f>SUM(L4:L16)</f>
        <v>11657.7</v>
      </c>
      <c r="M3" s="37">
        <f>SUM(M4:M16)</f>
        <v>3357417.5999999996</v>
      </c>
    </row>
    <row r="4" spans="1:15" ht="16.5" x14ac:dyDescent="0.35">
      <c r="A4" s="31">
        <v>1</v>
      </c>
      <c r="B4" s="31" t="s">
        <v>32</v>
      </c>
      <c r="C4" s="31" t="s">
        <v>33</v>
      </c>
      <c r="D4" s="46">
        <v>24.4</v>
      </c>
      <c r="E4" s="57">
        <v>50</v>
      </c>
      <c r="F4" s="58">
        <f t="shared" ref="F4:F11" si="0">D4/0.65-1</f>
        <v>36.538461538461533</v>
      </c>
      <c r="G4" s="4" t="s">
        <v>135</v>
      </c>
      <c r="H4" s="4" t="s">
        <v>136</v>
      </c>
      <c r="I4" s="29">
        <v>20</v>
      </c>
      <c r="J4" s="29">
        <v>5</v>
      </c>
      <c r="K4" s="29">
        <v>46</v>
      </c>
      <c r="L4" s="30">
        <f>K4*D4</f>
        <v>1122.3999999999999</v>
      </c>
      <c r="M4" s="30">
        <f>L4*288</f>
        <v>323251.19999999995</v>
      </c>
      <c r="N4" s="55">
        <v>5</v>
      </c>
    </row>
    <row r="5" spans="1:15" ht="33" x14ac:dyDescent="0.35">
      <c r="A5" s="31">
        <v>2</v>
      </c>
      <c r="B5" s="31" t="s">
        <v>34</v>
      </c>
      <c r="C5" s="31" t="s">
        <v>35</v>
      </c>
      <c r="D5" s="46">
        <v>25.2</v>
      </c>
      <c r="E5" s="57">
        <v>50</v>
      </c>
      <c r="F5" s="58">
        <f t="shared" si="0"/>
        <v>37.769230769230766</v>
      </c>
      <c r="G5" s="4" t="s">
        <v>137</v>
      </c>
      <c r="H5" s="4" t="s">
        <v>138</v>
      </c>
      <c r="I5" s="29">
        <v>20</v>
      </c>
      <c r="J5" s="29">
        <v>5</v>
      </c>
      <c r="K5" s="29">
        <v>46</v>
      </c>
      <c r="L5" s="30">
        <f t="shared" ref="L5:L19" si="1">K5*D5</f>
        <v>1159.2</v>
      </c>
      <c r="M5" s="30">
        <f>L5*288</f>
        <v>333849.60000000003</v>
      </c>
      <c r="N5" s="55">
        <v>5</v>
      </c>
    </row>
    <row r="6" spans="1:15" ht="33" x14ac:dyDescent="0.35">
      <c r="A6" s="31">
        <v>3</v>
      </c>
      <c r="B6" s="31" t="s">
        <v>36</v>
      </c>
      <c r="C6" s="31" t="s">
        <v>69</v>
      </c>
      <c r="D6" s="46">
        <v>20</v>
      </c>
      <c r="E6" s="57">
        <v>55</v>
      </c>
      <c r="F6" s="58">
        <f t="shared" si="0"/>
        <v>29.769230769230766</v>
      </c>
      <c r="G6" s="4" t="s">
        <v>139</v>
      </c>
      <c r="H6" s="4" t="s">
        <v>140</v>
      </c>
      <c r="I6" s="29">
        <v>40</v>
      </c>
      <c r="J6" s="29">
        <v>2</v>
      </c>
      <c r="K6" s="29">
        <v>23</v>
      </c>
      <c r="L6" s="30">
        <f t="shared" si="1"/>
        <v>460</v>
      </c>
      <c r="M6" s="30">
        <f t="shared" ref="M6:M19" si="2">L6*288</f>
        <v>132480</v>
      </c>
      <c r="N6" s="55">
        <v>2</v>
      </c>
    </row>
    <row r="7" spans="1:15" ht="33" x14ac:dyDescent="0.35">
      <c r="A7" s="31">
        <v>4</v>
      </c>
      <c r="B7" s="31" t="s">
        <v>37</v>
      </c>
      <c r="C7" s="31" t="s">
        <v>38</v>
      </c>
      <c r="D7" s="46">
        <v>43.9</v>
      </c>
      <c r="E7" s="57">
        <v>55</v>
      </c>
      <c r="F7" s="58">
        <f t="shared" si="0"/>
        <v>66.538461538461533</v>
      </c>
      <c r="G7" s="4" t="s">
        <v>141</v>
      </c>
      <c r="H7" s="4" t="s">
        <v>142</v>
      </c>
      <c r="I7" s="29">
        <v>60</v>
      </c>
      <c r="J7" s="29">
        <v>3</v>
      </c>
      <c r="K7" s="29">
        <v>22</v>
      </c>
      <c r="L7" s="30">
        <f t="shared" si="1"/>
        <v>965.8</v>
      </c>
      <c r="M7" s="30">
        <f>L7*288</f>
        <v>278150.39999999997</v>
      </c>
      <c r="N7" s="55">
        <v>3</v>
      </c>
    </row>
    <row r="8" spans="1:15" ht="16.5" x14ac:dyDescent="0.35">
      <c r="A8" s="31">
        <v>5</v>
      </c>
      <c r="B8" s="31" t="s">
        <v>39</v>
      </c>
      <c r="C8" s="31" t="s">
        <v>40</v>
      </c>
      <c r="D8" s="46">
        <v>37</v>
      </c>
      <c r="E8" s="57">
        <v>55</v>
      </c>
      <c r="F8" s="58">
        <f t="shared" si="0"/>
        <v>55.92307692307692</v>
      </c>
      <c r="G8" s="4" t="s">
        <v>143</v>
      </c>
      <c r="H8" s="4" t="s">
        <v>144</v>
      </c>
      <c r="I8" s="29">
        <v>60</v>
      </c>
      <c r="J8" s="29">
        <v>2</v>
      </c>
      <c r="K8" s="29">
        <v>19</v>
      </c>
      <c r="L8" s="30">
        <f t="shared" si="1"/>
        <v>703</v>
      </c>
      <c r="M8" s="30">
        <f t="shared" si="2"/>
        <v>202464</v>
      </c>
      <c r="N8" s="55">
        <v>2</v>
      </c>
    </row>
    <row r="9" spans="1:15" ht="33" x14ac:dyDescent="0.35">
      <c r="A9" s="31">
        <v>6</v>
      </c>
      <c r="B9" s="31" t="s">
        <v>41</v>
      </c>
      <c r="C9" s="31" t="s">
        <v>42</v>
      </c>
      <c r="D9" s="46">
        <v>24.5</v>
      </c>
      <c r="E9" s="57">
        <v>50</v>
      </c>
      <c r="F9" s="58">
        <f t="shared" si="0"/>
        <v>36.692307692307693</v>
      </c>
      <c r="G9" s="4" t="s">
        <v>145</v>
      </c>
      <c r="H9" s="4" t="s">
        <v>146</v>
      </c>
      <c r="I9" s="29">
        <v>30</v>
      </c>
      <c r="J9" s="29">
        <v>3</v>
      </c>
      <c r="K9" s="29">
        <v>31</v>
      </c>
      <c r="L9" s="30">
        <f t="shared" si="1"/>
        <v>759.5</v>
      </c>
      <c r="M9" s="30">
        <f t="shared" si="2"/>
        <v>218736</v>
      </c>
      <c r="N9" s="55">
        <v>3</v>
      </c>
    </row>
    <row r="10" spans="1:15" ht="33" x14ac:dyDescent="0.35">
      <c r="A10" s="31">
        <v>7</v>
      </c>
      <c r="B10" s="31" t="s">
        <v>43</v>
      </c>
      <c r="C10" s="31" t="s">
        <v>44</v>
      </c>
      <c r="D10" s="46">
        <v>24.2</v>
      </c>
      <c r="E10" s="57">
        <v>50</v>
      </c>
      <c r="F10" s="58">
        <f t="shared" si="0"/>
        <v>36.230769230769226</v>
      </c>
      <c r="G10" s="4" t="s">
        <v>147</v>
      </c>
      <c r="H10" s="4" t="s">
        <v>148</v>
      </c>
      <c r="I10" s="29">
        <v>30</v>
      </c>
      <c r="J10" s="29">
        <v>3</v>
      </c>
      <c r="K10" s="29">
        <v>31</v>
      </c>
      <c r="L10" s="30">
        <f t="shared" si="1"/>
        <v>750.19999999999993</v>
      </c>
      <c r="M10" s="30">
        <f t="shared" si="2"/>
        <v>216057.59999999998</v>
      </c>
      <c r="N10" s="55">
        <v>3</v>
      </c>
    </row>
    <row r="11" spans="1:15" ht="33" x14ac:dyDescent="0.35">
      <c r="A11" s="31">
        <v>8</v>
      </c>
      <c r="B11" s="31" t="s">
        <v>45</v>
      </c>
      <c r="C11" s="31" t="s">
        <v>46</v>
      </c>
      <c r="D11" s="46">
        <v>25.6</v>
      </c>
      <c r="E11" s="57">
        <v>50</v>
      </c>
      <c r="F11" s="58">
        <f t="shared" si="0"/>
        <v>38.384615384615387</v>
      </c>
      <c r="G11" s="4" t="s">
        <v>149</v>
      </c>
      <c r="H11" s="4" t="s">
        <v>150</v>
      </c>
      <c r="I11" s="29">
        <v>30</v>
      </c>
      <c r="J11" s="29">
        <v>3</v>
      </c>
      <c r="K11" s="29">
        <v>31</v>
      </c>
      <c r="L11" s="30">
        <f t="shared" si="1"/>
        <v>793.6</v>
      </c>
      <c r="M11" s="30">
        <f t="shared" si="2"/>
        <v>228556.80000000002</v>
      </c>
      <c r="N11" s="55">
        <v>3</v>
      </c>
    </row>
    <row r="12" spans="1:15" ht="16.5" x14ac:dyDescent="0.35">
      <c r="A12" s="31">
        <v>9</v>
      </c>
      <c r="B12" s="31" t="s">
        <v>47</v>
      </c>
      <c r="C12" s="4" t="s">
        <v>70</v>
      </c>
      <c r="D12" s="46">
        <v>45</v>
      </c>
      <c r="E12" s="57">
        <v>55</v>
      </c>
      <c r="F12" s="58">
        <f>D12/1.2-1</f>
        <v>36.5</v>
      </c>
      <c r="G12" s="4" t="s">
        <v>151</v>
      </c>
      <c r="H12" s="4" t="s">
        <v>152</v>
      </c>
      <c r="I12" s="29">
        <v>60</v>
      </c>
      <c r="J12" s="29">
        <v>2</v>
      </c>
      <c r="K12" s="29">
        <v>16</v>
      </c>
      <c r="L12" s="30">
        <f t="shared" si="1"/>
        <v>720</v>
      </c>
      <c r="M12" s="30">
        <f t="shared" si="2"/>
        <v>207360</v>
      </c>
      <c r="N12" s="55">
        <v>2</v>
      </c>
      <c r="O12">
        <v>2027</v>
      </c>
    </row>
    <row r="13" spans="1:15" ht="16.5" x14ac:dyDescent="0.35">
      <c r="A13" s="31">
        <v>10</v>
      </c>
      <c r="B13" s="31" t="s">
        <v>48</v>
      </c>
      <c r="C13" s="31" t="s">
        <v>49</v>
      </c>
      <c r="D13" s="46">
        <v>68</v>
      </c>
      <c r="E13" s="57">
        <v>55</v>
      </c>
      <c r="F13" s="58">
        <f>D13/1.2-1</f>
        <v>55.666666666666671</v>
      </c>
      <c r="G13" s="4" t="s">
        <v>153</v>
      </c>
      <c r="H13" s="4" t="s">
        <v>154</v>
      </c>
      <c r="I13" s="29">
        <v>60</v>
      </c>
      <c r="J13" s="29">
        <v>3</v>
      </c>
      <c r="K13" s="29">
        <v>16</v>
      </c>
      <c r="L13" s="30">
        <f t="shared" si="1"/>
        <v>1088</v>
      </c>
      <c r="M13" s="30">
        <f t="shared" si="2"/>
        <v>313344</v>
      </c>
      <c r="N13" s="55">
        <v>3</v>
      </c>
      <c r="O13">
        <v>2028</v>
      </c>
    </row>
    <row r="14" spans="1:15" ht="16.5" x14ac:dyDescent="0.35">
      <c r="A14" s="31">
        <v>11</v>
      </c>
      <c r="B14" s="31" t="s">
        <v>50</v>
      </c>
      <c r="C14" s="31" t="s">
        <v>71</v>
      </c>
      <c r="D14" s="46">
        <v>69</v>
      </c>
      <c r="E14" s="57">
        <v>55</v>
      </c>
      <c r="F14" s="58">
        <f>D14/1.2-1</f>
        <v>56.5</v>
      </c>
      <c r="G14" s="4" t="s">
        <v>155</v>
      </c>
      <c r="H14" s="4" t="s">
        <v>156</v>
      </c>
      <c r="I14" s="29">
        <v>60</v>
      </c>
      <c r="J14" s="29">
        <v>3</v>
      </c>
      <c r="K14" s="29">
        <v>16</v>
      </c>
      <c r="L14" s="30">
        <f t="shared" si="1"/>
        <v>1104</v>
      </c>
      <c r="M14" s="30">
        <f t="shared" si="2"/>
        <v>317952</v>
      </c>
      <c r="N14" s="55">
        <v>3</v>
      </c>
      <c r="O14">
        <v>2027</v>
      </c>
    </row>
    <row r="15" spans="1:15" ht="16.5" x14ac:dyDescent="0.35">
      <c r="A15" s="31">
        <v>12</v>
      </c>
      <c r="B15" s="31" t="s">
        <v>53</v>
      </c>
      <c r="C15" s="31" t="s">
        <v>54</v>
      </c>
      <c r="D15" s="46">
        <v>67</v>
      </c>
      <c r="E15" s="57">
        <v>55</v>
      </c>
      <c r="F15" s="58">
        <f>D15/1.2</f>
        <v>55.833333333333336</v>
      </c>
      <c r="G15" s="4" t="s">
        <v>157</v>
      </c>
      <c r="H15" s="4" t="s">
        <v>158</v>
      </c>
      <c r="I15" s="29">
        <v>60</v>
      </c>
      <c r="J15" s="29">
        <v>3</v>
      </c>
      <c r="K15" s="29">
        <v>16</v>
      </c>
      <c r="L15" s="30">
        <f t="shared" si="1"/>
        <v>1072</v>
      </c>
      <c r="M15" s="30">
        <f t="shared" si="2"/>
        <v>308736</v>
      </c>
      <c r="N15" s="55">
        <v>3</v>
      </c>
      <c r="O15">
        <v>2030</v>
      </c>
    </row>
    <row r="16" spans="1:15" s="17" customFormat="1" ht="16.5" x14ac:dyDescent="0.35">
      <c r="A16" s="32">
        <v>13</v>
      </c>
      <c r="B16" s="31" t="s">
        <v>55</v>
      </c>
      <c r="C16" s="31" t="s">
        <v>56</v>
      </c>
      <c r="D16" s="46">
        <v>60</v>
      </c>
      <c r="E16" s="57">
        <v>55</v>
      </c>
      <c r="F16" s="58">
        <f>D16/1.2</f>
        <v>50</v>
      </c>
      <c r="G16" s="4" t="s">
        <v>159</v>
      </c>
      <c r="H16" s="4" t="s">
        <v>160</v>
      </c>
      <c r="I16" s="29">
        <v>60</v>
      </c>
      <c r="J16" s="29">
        <v>3</v>
      </c>
      <c r="K16" s="29">
        <v>16</v>
      </c>
      <c r="L16" s="30">
        <f t="shared" si="1"/>
        <v>960</v>
      </c>
      <c r="M16" s="30">
        <f t="shared" si="2"/>
        <v>276480</v>
      </c>
      <c r="N16" s="55">
        <v>3</v>
      </c>
      <c r="O16" s="17">
        <v>2029</v>
      </c>
    </row>
    <row r="17" spans="1:14" ht="23.15" customHeight="1" x14ac:dyDescent="0.35">
      <c r="A17" s="42" t="s">
        <v>26</v>
      </c>
      <c r="B17" s="391" t="s">
        <v>51</v>
      </c>
      <c r="C17" s="391"/>
      <c r="D17" s="38"/>
      <c r="E17" s="39"/>
      <c r="F17" s="39"/>
      <c r="G17" s="39"/>
      <c r="H17" s="39"/>
      <c r="I17" s="39"/>
      <c r="J17" s="39"/>
      <c r="K17" s="40"/>
      <c r="L17" s="41">
        <f>SUM(L18:L19)</f>
        <v>1136</v>
      </c>
      <c r="M17" s="41">
        <f>SUM(M18:M19)</f>
        <v>327168</v>
      </c>
      <c r="N17" s="48">
        <f>SUM(N4:N16)</f>
        <v>40</v>
      </c>
    </row>
    <row r="18" spans="1:14" ht="16.5" x14ac:dyDescent="0.35">
      <c r="A18" s="4">
        <v>14</v>
      </c>
      <c r="B18" s="31" t="s">
        <v>52</v>
      </c>
      <c r="C18" s="31" t="s">
        <v>74</v>
      </c>
      <c r="D18" s="31">
        <v>41</v>
      </c>
      <c r="E18" s="4">
        <v>55</v>
      </c>
      <c r="F18" s="4">
        <v>34</v>
      </c>
      <c r="G18" s="4" t="s">
        <v>162</v>
      </c>
      <c r="H18" s="4" t="s">
        <v>163</v>
      </c>
      <c r="I18" s="29">
        <v>60</v>
      </c>
      <c r="J18" s="29">
        <v>2</v>
      </c>
      <c r="K18" s="29">
        <v>16</v>
      </c>
      <c r="L18" s="30">
        <f t="shared" si="1"/>
        <v>656</v>
      </c>
      <c r="M18" s="30">
        <f t="shared" si="2"/>
        <v>188928</v>
      </c>
    </row>
    <row r="19" spans="1:14" ht="16.5" x14ac:dyDescent="0.35">
      <c r="A19" s="4">
        <v>15</v>
      </c>
      <c r="B19" s="31" t="s">
        <v>57</v>
      </c>
      <c r="C19" s="31" t="s">
        <v>58</v>
      </c>
      <c r="D19" s="31">
        <v>30</v>
      </c>
      <c r="E19" s="4">
        <v>55</v>
      </c>
      <c r="F19" s="4">
        <v>25</v>
      </c>
      <c r="G19" s="4" t="s">
        <v>164</v>
      </c>
      <c r="H19" s="4" t="s">
        <v>165</v>
      </c>
      <c r="I19" s="29">
        <v>60</v>
      </c>
      <c r="J19" s="29">
        <v>2</v>
      </c>
      <c r="K19" s="29">
        <v>16</v>
      </c>
      <c r="L19" s="30">
        <f t="shared" si="1"/>
        <v>480</v>
      </c>
      <c r="M19" s="30">
        <f t="shared" si="2"/>
        <v>138240</v>
      </c>
    </row>
  </sheetData>
  <mergeCells count="16">
    <mergeCell ref="N1:N2"/>
    <mergeCell ref="B3:C3"/>
    <mergeCell ref="B17:C17"/>
    <mergeCell ref="G1:G2"/>
    <mergeCell ref="A1:A2"/>
    <mergeCell ref="B1:B2"/>
    <mergeCell ref="C1:C2"/>
    <mergeCell ref="E1:E2"/>
    <mergeCell ref="F1:F2"/>
    <mergeCell ref="K1:K2"/>
    <mergeCell ref="L1:L2"/>
    <mergeCell ref="M1:M2"/>
    <mergeCell ref="D1:D2"/>
    <mergeCell ref="H1:H2"/>
    <mergeCell ref="I1:I2"/>
    <mergeCell ref="J1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13"/>
  <sheetViews>
    <sheetView zoomScale="70" zoomScaleNormal="70" workbookViewId="0">
      <selection activeCell="C25" sqref="C25"/>
    </sheetView>
  </sheetViews>
  <sheetFormatPr defaultColWidth="8.81640625" defaultRowHeight="14.5" x14ac:dyDescent="0.35"/>
  <cols>
    <col min="2" max="2" width="13.26953125" customWidth="1"/>
    <col min="3" max="6" width="22.7265625" customWidth="1"/>
    <col min="7" max="7" width="18" customWidth="1"/>
  </cols>
  <sheetData>
    <row r="1" spans="2:7" ht="15" thickBot="1" x14ac:dyDescent="0.4"/>
    <row r="2" spans="2:7" ht="35" x14ac:dyDescent="0.35">
      <c r="B2" s="399" t="s">
        <v>106</v>
      </c>
      <c r="C2" s="401" t="s">
        <v>107</v>
      </c>
      <c r="D2" s="395" t="s">
        <v>123</v>
      </c>
      <c r="E2" s="19" t="s">
        <v>108</v>
      </c>
      <c r="F2" s="18" t="s">
        <v>125</v>
      </c>
      <c r="G2" s="19" t="s">
        <v>127</v>
      </c>
    </row>
    <row r="3" spans="2:7" ht="18.5" thickBot="1" x14ac:dyDescent="0.4">
      <c r="B3" s="400"/>
      <c r="C3" s="402"/>
      <c r="D3" s="396"/>
      <c r="E3" s="20" t="s">
        <v>124</v>
      </c>
      <c r="F3" s="21" t="s">
        <v>126</v>
      </c>
      <c r="G3" s="20" t="s">
        <v>126</v>
      </c>
    </row>
    <row r="4" spans="2:7" ht="18.5" thickBot="1" x14ac:dyDescent="0.4">
      <c r="B4" s="397">
        <v>2030</v>
      </c>
      <c r="C4" s="22" t="s">
        <v>59</v>
      </c>
      <c r="D4" s="23">
        <v>40</v>
      </c>
      <c r="E4" s="23">
        <v>44</v>
      </c>
      <c r="F4" s="24">
        <v>1760</v>
      </c>
      <c r="G4" s="25">
        <v>2640</v>
      </c>
    </row>
    <row r="5" spans="2:7" ht="18.5" thickBot="1" x14ac:dyDescent="0.4">
      <c r="B5" s="398"/>
      <c r="C5" s="22" t="s">
        <v>109</v>
      </c>
      <c r="D5" s="23">
        <v>33</v>
      </c>
      <c r="E5" s="23">
        <v>36</v>
      </c>
      <c r="F5" s="24">
        <v>1452.0000000000002</v>
      </c>
      <c r="G5" s="25">
        <v>2178.0000000000005</v>
      </c>
    </row>
    <row r="6" spans="2:7" ht="18.5" thickBot="1" x14ac:dyDescent="0.4">
      <c r="B6" s="397">
        <v>2035</v>
      </c>
      <c r="C6" s="22" t="s">
        <v>59</v>
      </c>
      <c r="D6" s="23">
        <v>4</v>
      </c>
      <c r="E6" s="23">
        <v>4</v>
      </c>
      <c r="F6" s="24">
        <v>176</v>
      </c>
      <c r="G6" s="25">
        <v>264</v>
      </c>
    </row>
    <row r="7" spans="2:7" ht="18.5" thickBot="1" x14ac:dyDescent="0.4">
      <c r="B7" s="398"/>
      <c r="C7" s="22" t="s">
        <v>109</v>
      </c>
      <c r="D7" s="23">
        <v>14</v>
      </c>
      <c r="E7" s="23">
        <v>15</v>
      </c>
      <c r="F7" s="24">
        <v>616.00000000000011</v>
      </c>
      <c r="G7" s="25">
        <v>924.00000000000023</v>
      </c>
    </row>
    <row r="8" spans="2:7" x14ac:dyDescent="0.35">
      <c r="F8" s="15"/>
    </row>
    <row r="9" spans="2:7" ht="18" x14ac:dyDescent="0.35">
      <c r="C9" s="16" t="s">
        <v>110</v>
      </c>
    </row>
    <row r="13" spans="2:7" x14ac:dyDescent="0.35">
      <c r="F13" s="17"/>
    </row>
  </sheetData>
  <mergeCells count="5">
    <mergeCell ref="D2:D3"/>
    <mergeCell ref="B4:B5"/>
    <mergeCell ref="B6:B7"/>
    <mergeCell ref="B2:B3"/>
    <mergeCell ref="C2:C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53"/>
  <sheetViews>
    <sheetView zoomScale="85" zoomScaleNormal="85" workbookViewId="0">
      <selection activeCell="C25" sqref="C25"/>
    </sheetView>
  </sheetViews>
  <sheetFormatPr defaultColWidth="8.81640625" defaultRowHeight="14.5" x14ac:dyDescent="0.35"/>
  <cols>
    <col min="4" max="4" width="32.1796875" customWidth="1"/>
    <col min="6" max="6" width="14.453125" customWidth="1"/>
    <col min="7" max="7" width="13.1796875" customWidth="1"/>
    <col min="8" max="8" width="12.7265625" customWidth="1"/>
  </cols>
  <sheetData>
    <row r="1" spans="2:11" x14ac:dyDescent="0.35">
      <c r="B1" s="59"/>
      <c r="C1" s="59"/>
      <c r="D1" s="59"/>
      <c r="E1" s="59"/>
      <c r="F1" s="59"/>
      <c r="G1" s="59"/>
      <c r="H1" s="59"/>
      <c r="I1" s="59"/>
      <c r="J1" s="59"/>
    </row>
    <row r="2" spans="2:11" ht="32.25" customHeight="1" x14ac:dyDescent="0.35">
      <c r="B2" s="403" t="s">
        <v>0</v>
      </c>
      <c r="C2" s="404" t="s">
        <v>128</v>
      </c>
      <c r="D2" s="404" t="s">
        <v>28</v>
      </c>
      <c r="E2" s="404" t="s">
        <v>129</v>
      </c>
      <c r="F2" s="404" t="s">
        <v>130</v>
      </c>
      <c r="G2" s="404" t="s">
        <v>111</v>
      </c>
      <c r="H2" s="404"/>
      <c r="I2" s="404" t="s">
        <v>112</v>
      </c>
      <c r="J2" s="404"/>
      <c r="K2" s="26"/>
    </row>
    <row r="3" spans="2:11" ht="33.5" thickBot="1" x14ac:dyDescent="0.4">
      <c r="B3" s="403"/>
      <c r="C3" s="404"/>
      <c r="D3" s="404"/>
      <c r="E3" s="404"/>
      <c r="F3" s="404"/>
      <c r="G3" s="60" t="s">
        <v>113</v>
      </c>
      <c r="H3" s="60" t="s">
        <v>114</v>
      </c>
      <c r="I3" s="60" t="s">
        <v>115</v>
      </c>
      <c r="J3" s="60" t="s">
        <v>114</v>
      </c>
      <c r="K3" s="27"/>
    </row>
    <row r="4" spans="2:11" ht="17.25" customHeight="1" thickBot="1" x14ac:dyDescent="0.4">
      <c r="B4" s="61" t="s">
        <v>24</v>
      </c>
      <c r="C4" s="406" t="s">
        <v>31</v>
      </c>
      <c r="D4" s="406"/>
      <c r="E4" s="406"/>
      <c r="F4" s="406"/>
      <c r="G4" s="406"/>
      <c r="H4" s="406"/>
      <c r="I4" s="406"/>
      <c r="J4" s="406"/>
      <c r="K4" s="28"/>
    </row>
    <row r="5" spans="2:11" ht="18" x14ac:dyDescent="0.35">
      <c r="B5" s="61" t="s">
        <v>75</v>
      </c>
      <c r="C5" s="407" t="s">
        <v>76</v>
      </c>
      <c r="D5" s="407"/>
      <c r="E5" s="61"/>
      <c r="F5" s="62"/>
      <c r="G5" s="63"/>
      <c r="H5" s="63"/>
      <c r="I5" s="63"/>
      <c r="J5" s="63"/>
      <c r="K5" s="26"/>
    </row>
    <row r="6" spans="2:11" ht="18" x14ac:dyDescent="0.35">
      <c r="B6" s="46">
        <v>1</v>
      </c>
      <c r="C6" s="46" t="s">
        <v>32</v>
      </c>
      <c r="D6" s="46" t="s">
        <v>33</v>
      </c>
      <c r="E6" s="46">
        <v>24.4</v>
      </c>
      <c r="F6" s="55">
        <v>5</v>
      </c>
      <c r="G6" s="29">
        <v>3</v>
      </c>
      <c r="H6" s="71">
        <v>2</v>
      </c>
      <c r="I6" s="29">
        <v>0</v>
      </c>
      <c r="J6" s="29">
        <v>0</v>
      </c>
      <c r="K6" s="26"/>
    </row>
    <row r="7" spans="2:11" ht="18" x14ac:dyDescent="0.35">
      <c r="B7" s="46">
        <v>2</v>
      </c>
      <c r="C7" s="46" t="s">
        <v>34</v>
      </c>
      <c r="D7" s="46" t="s">
        <v>131</v>
      </c>
      <c r="E7" s="46">
        <v>25.2</v>
      </c>
      <c r="F7" s="55">
        <v>5</v>
      </c>
      <c r="G7" s="4">
        <v>3</v>
      </c>
      <c r="H7" s="71">
        <v>2</v>
      </c>
      <c r="I7" s="29">
        <v>0</v>
      </c>
      <c r="J7" s="29">
        <v>0</v>
      </c>
      <c r="K7" s="26"/>
    </row>
    <row r="8" spans="2:11" ht="31" x14ac:dyDescent="0.35">
      <c r="B8" s="46">
        <v>3</v>
      </c>
      <c r="C8" s="46" t="s">
        <v>36</v>
      </c>
      <c r="D8" s="46" t="s">
        <v>69</v>
      </c>
      <c r="E8" s="46">
        <v>20</v>
      </c>
      <c r="F8" s="55">
        <v>2</v>
      </c>
      <c r="G8" s="4">
        <v>1</v>
      </c>
      <c r="H8" s="71">
        <v>1</v>
      </c>
      <c r="I8" s="29">
        <v>0</v>
      </c>
      <c r="J8" s="29">
        <v>0</v>
      </c>
      <c r="K8" s="26"/>
    </row>
    <row r="9" spans="2:11" ht="31" x14ac:dyDescent="0.35">
      <c r="B9" s="46">
        <v>4</v>
      </c>
      <c r="C9" s="46" t="s">
        <v>37</v>
      </c>
      <c r="D9" s="46" t="s">
        <v>38</v>
      </c>
      <c r="E9" s="46">
        <v>43.9</v>
      </c>
      <c r="F9" s="55">
        <v>3</v>
      </c>
      <c r="G9" s="4">
        <v>3</v>
      </c>
      <c r="H9" s="71">
        <v>0</v>
      </c>
      <c r="I9" s="29">
        <v>0</v>
      </c>
      <c r="J9" s="29">
        <v>0</v>
      </c>
      <c r="K9" s="26"/>
    </row>
    <row r="10" spans="2:11" ht="18" x14ac:dyDescent="0.35">
      <c r="B10" s="46">
        <v>5</v>
      </c>
      <c r="C10" s="46" t="s">
        <v>39</v>
      </c>
      <c r="D10" s="46" t="s">
        <v>40</v>
      </c>
      <c r="E10" s="46">
        <v>37</v>
      </c>
      <c r="F10" s="55">
        <v>2</v>
      </c>
      <c r="G10" s="4">
        <v>1</v>
      </c>
      <c r="H10" s="71">
        <v>1</v>
      </c>
      <c r="I10" s="29">
        <v>0</v>
      </c>
      <c r="J10" s="29">
        <v>0</v>
      </c>
      <c r="K10" s="26"/>
    </row>
    <row r="11" spans="2:11" ht="31" x14ac:dyDescent="0.35">
      <c r="B11" s="46">
        <v>6</v>
      </c>
      <c r="C11" s="46" t="s">
        <v>41</v>
      </c>
      <c r="D11" s="46" t="s">
        <v>177</v>
      </c>
      <c r="E11" s="46">
        <v>24.5</v>
      </c>
      <c r="F11" s="55">
        <v>3</v>
      </c>
      <c r="G11" s="4">
        <v>1</v>
      </c>
      <c r="H11" s="71">
        <v>2</v>
      </c>
      <c r="I11" s="29">
        <v>0</v>
      </c>
      <c r="J11" s="29">
        <v>0</v>
      </c>
      <c r="K11" s="26"/>
    </row>
    <row r="12" spans="2:11" ht="31" x14ac:dyDescent="0.35">
      <c r="B12" s="46">
        <v>7</v>
      </c>
      <c r="C12" s="46" t="s">
        <v>43</v>
      </c>
      <c r="D12" s="46" t="s">
        <v>178</v>
      </c>
      <c r="E12" s="46">
        <v>24.2</v>
      </c>
      <c r="F12" s="55">
        <v>3</v>
      </c>
      <c r="G12" s="4">
        <v>1</v>
      </c>
      <c r="H12" s="71">
        <v>2</v>
      </c>
      <c r="I12" s="29">
        <v>0</v>
      </c>
      <c r="J12" s="29">
        <v>0</v>
      </c>
      <c r="K12" s="26"/>
    </row>
    <row r="13" spans="2:11" ht="31" x14ac:dyDescent="0.35">
      <c r="B13" s="46">
        <v>8</v>
      </c>
      <c r="C13" s="46" t="s">
        <v>45</v>
      </c>
      <c r="D13" s="46" t="s">
        <v>179</v>
      </c>
      <c r="E13" s="46">
        <v>25.6</v>
      </c>
      <c r="F13" s="55">
        <v>3</v>
      </c>
      <c r="G13" s="4">
        <v>1</v>
      </c>
      <c r="H13" s="71">
        <v>2</v>
      </c>
      <c r="I13" s="29">
        <v>0</v>
      </c>
      <c r="J13" s="29">
        <v>0</v>
      </c>
      <c r="K13" s="26"/>
    </row>
    <row r="14" spans="2:11" ht="18" x14ac:dyDescent="0.35">
      <c r="B14" s="46">
        <v>9</v>
      </c>
      <c r="C14" s="46" t="s">
        <v>47</v>
      </c>
      <c r="D14" s="47" t="s">
        <v>70</v>
      </c>
      <c r="E14" s="46">
        <v>45</v>
      </c>
      <c r="F14" s="55">
        <v>2</v>
      </c>
      <c r="G14" s="4">
        <v>1</v>
      </c>
      <c r="H14" s="71">
        <v>1</v>
      </c>
      <c r="I14" s="29">
        <v>0</v>
      </c>
      <c r="J14" s="29">
        <v>0</v>
      </c>
      <c r="K14" s="26"/>
    </row>
    <row r="15" spans="2:11" ht="18" x14ac:dyDescent="0.35">
      <c r="B15" s="46">
        <v>10</v>
      </c>
      <c r="C15" s="46" t="s">
        <v>48</v>
      </c>
      <c r="D15" s="46" t="s">
        <v>49</v>
      </c>
      <c r="E15" s="46">
        <v>68</v>
      </c>
      <c r="F15" s="55">
        <v>3</v>
      </c>
      <c r="G15" s="72">
        <v>0</v>
      </c>
      <c r="H15" s="71">
        <v>3</v>
      </c>
      <c r="I15" s="29">
        <v>0</v>
      </c>
      <c r="J15" s="29">
        <v>0</v>
      </c>
      <c r="K15" s="26"/>
    </row>
    <row r="16" spans="2:11" ht="18" x14ac:dyDescent="0.35">
      <c r="B16" s="46">
        <v>11</v>
      </c>
      <c r="C16" s="46" t="s">
        <v>50</v>
      </c>
      <c r="D16" s="46" t="s">
        <v>71</v>
      </c>
      <c r="E16" s="46">
        <v>69</v>
      </c>
      <c r="F16" s="55">
        <v>3</v>
      </c>
      <c r="G16" s="72">
        <v>0</v>
      </c>
      <c r="H16" s="71">
        <v>3</v>
      </c>
      <c r="I16" s="29">
        <v>0</v>
      </c>
      <c r="J16" s="29">
        <v>0</v>
      </c>
      <c r="K16" s="26"/>
    </row>
    <row r="17" spans="2:11" ht="18" x14ac:dyDescent="0.35">
      <c r="B17" s="46">
        <v>12</v>
      </c>
      <c r="C17" s="46" t="s">
        <v>53</v>
      </c>
      <c r="D17" s="46" t="s">
        <v>54</v>
      </c>
      <c r="E17" s="46">
        <v>67</v>
      </c>
      <c r="F17" s="55">
        <v>3</v>
      </c>
      <c r="G17" s="72">
        <v>0</v>
      </c>
      <c r="H17" s="71">
        <v>3</v>
      </c>
      <c r="I17" s="29">
        <v>0</v>
      </c>
      <c r="J17" s="29">
        <v>0</v>
      </c>
      <c r="K17" s="26"/>
    </row>
    <row r="18" spans="2:11" ht="18" x14ac:dyDescent="0.35">
      <c r="B18" s="46">
        <v>13</v>
      </c>
      <c r="C18" s="46" t="s">
        <v>55</v>
      </c>
      <c r="D18" s="46" t="s">
        <v>56</v>
      </c>
      <c r="E18" s="46">
        <v>60</v>
      </c>
      <c r="F18" s="55">
        <v>3</v>
      </c>
      <c r="G18" s="72">
        <v>0</v>
      </c>
      <c r="H18" s="71">
        <v>3</v>
      </c>
      <c r="I18" s="29">
        <v>0</v>
      </c>
      <c r="J18" s="29">
        <v>0</v>
      </c>
      <c r="K18" s="26"/>
    </row>
    <row r="19" spans="2:11" ht="18" x14ac:dyDescent="0.35">
      <c r="B19" s="31"/>
      <c r="C19" s="31"/>
      <c r="D19" s="64" t="s">
        <v>116</v>
      </c>
      <c r="E19" s="48">
        <f>SUM(E6:E18)</f>
        <v>533.79999999999995</v>
      </c>
      <c r="F19" s="48">
        <f>SUM(F6:F18)</f>
        <v>40</v>
      </c>
      <c r="G19" s="48">
        <f t="shared" ref="G19:J19" si="0">SUM(G6:G18)</f>
        <v>15</v>
      </c>
      <c r="H19" s="48">
        <v>25</v>
      </c>
      <c r="I19" s="48">
        <f t="shared" si="0"/>
        <v>0</v>
      </c>
      <c r="J19" s="48">
        <f t="shared" si="0"/>
        <v>0</v>
      </c>
      <c r="K19" s="26"/>
    </row>
    <row r="20" spans="2:11" ht="18" x14ac:dyDescent="0.35">
      <c r="B20" s="61" t="s">
        <v>77</v>
      </c>
      <c r="C20" s="406" t="s">
        <v>132</v>
      </c>
      <c r="D20" s="406"/>
      <c r="E20" s="406"/>
      <c r="F20" s="406"/>
      <c r="G20" s="406"/>
      <c r="H20" s="406"/>
      <c r="I20" s="406"/>
      <c r="J20" s="406"/>
      <c r="K20" s="26"/>
    </row>
    <row r="21" spans="2:11" ht="18" x14ac:dyDescent="0.35">
      <c r="B21" s="46">
        <v>1</v>
      </c>
      <c r="C21" s="46" t="s">
        <v>78</v>
      </c>
      <c r="D21" s="46" t="s">
        <v>79</v>
      </c>
      <c r="E21" s="46">
        <v>78</v>
      </c>
      <c r="F21" s="49">
        <v>6</v>
      </c>
      <c r="G21" s="45">
        <v>3</v>
      </c>
      <c r="H21" s="50">
        <v>3</v>
      </c>
      <c r="I21" s="29">
        <v>0</v>
      </c>
      <c r="J21" s="29">
        <v>0</v>
      </c>
      <c r="K21" s="26"/>
    </row>
    <row r="22" spans="2:11" ht="31" x14ac:dyDescent="0.35">
      <c r="B22" s="46">
        <v>2</v>
      </c>
      <c r="C22" s="46" t="s">
        <v>80</v>
      </c>
      <c r="D22" s="46" t="s">
        <v>180</v>
      </c>
      <c r="E22" s="46">
        <v>64.5</v>
      </c>
      <c r="F22" s="49">
        <v>5</v>
      </c>
      <c r="G22" s="45">
        <v>4</v>
      </c>
      <c r="H22" s="50">
        <v>1</v>
      </c>
      <c r="I22" s="29">
        <v>0</v>
      </c>
      <c r="J22" s="29">
        <v>0</v>
      </c>
      <c r="K22" s="26"/>
    </row>
    <row r="23" spans="2:11" ht="31" x14ac:dyDescent="0.35">
      <c r="B23" s="46">
        <v>3</v>
      </c>
      <c r="C23" s="46" t="s">
        <v>81</v>
      </c>
      <c r="D23" s="46" t="s">
        <v>181</v>
      </c>
      <c r="E23" s="46">
        <v>40</v>
      </c>
      <c r="F23" s="49">
        <v>2</v>
      </c>
      <c r="G23" s="45">
        <v>0</v>
      </c>
      <c r="H23" s="50">
        <v>2</v>
      </c>
      <c r="I23" s="29">
        <v>0</v>
      </c>
      <c r="J23" s="29">
        <v>0</v>
      </c>
      <c r="K23" s="26"/>
    </row>
    <row r="24" spans="2:11" ht="18" x14ac:dyDescent="0.35">
      <c r="B24" s="46">
        <v>4</v>
      </c>
      <c r="C24" s="46" t="s">
        <v>82</v>
      </c>
      <c r="D24" s="46" t="s">
        <v>182</v>
      </c>
      <c r="E24" s="46">
        <v>50</v>
      </c>
      <c r="F24" s="49">
        <v>4</v>
      </c>
      <c r="G24" s="54">
        <v>2</v>
      </c>
      <c r="H24" s="50">
        <v>2</v>
      </c>
      <c r="I24" s="29">
        <v>2</v>
      </c>
      <c r="J24" s="29">
        <v>0</v>
      </c>
      <c r="K24" s="26"/>
    </row>
    <row r="25" spans="2:11" ht="18" x14ac:dyDescent="0.35">
      <c r="B25" s="46">
        <v>5</v>
      </c>
      <c r="C25" s="46" t="s">
        <v>83</v>
      </c>
      <c r="D25" s="46" t="s">
        <v>183</v>
      </c>
      <c r="E25" s="46">
        <v>78</v>
      </c>
      <c r="F25" s="49">
        <v>4</v>
      </c>
      <c r="G25" s="51">
        <v>0</v>
      </c>
      <c r="H25" s="50">
        <v>4</v>
      </c>
      <c r="I25" s="29">
        <v>0</v>
      </c>
      <c r="J25" s="29">
        <v>0</v>
      </c>
      <c r="K25" s="26"/>
    </row>
    <row r="26" spans="2:11" ht="18" x14ac:dyDescent="0.35">
      <c r="B26" s="46">
        <v>6</v>
      </c>
      <c r="C26" s="46" t="s">
        <v>93</v>
      </c>
      <c r="D26" s="46" t="s">
        <v>94</v>
      </c>
      <c r="E26" s="46">
        <v>36.5</v>
      </c>
      <c r="F26" s="47">
        <v>2</v>
      </c>
      <c r="G26" s="51">
        <v>0</v>
      </c>
      <c r="H26" s="50">
        <v>2</v>
      </c>
      <c r="I26" s="29">
        <v>0</v>
      </c>
      <c r="J26" s="29">
        <v>0</v>
      </c>
      <c r="K26" s="26"/>
    </row>
    <row r="27" spans="2:11" ht="18" x14ac:dyDescent="0.35">
      <c r="B27" s="46">
        <v>7</v>
      </c>
      <c r="C27" s="46" t="s">
        <v>84</v>
      </c>
      <c r="D27" s="46" t="s">
        <v>184</v>
      </c>
      <c r="E27" s="46">
        <v>35</v>
      </c>
      <c r="F27" s="55">
        <v>2</v>
      </c>
      <c r="G27" s="51">
        <v>0</v>
      </c>
      <c r="H27" s="50">
        <v>2</v>
      </c>
      <c r="I27" s="29">
        <v>0</v>
      </c>
      <c r="J27" s="29">
        <v>0</v>
      </c>
      <c r="K27" s="26"/>
    </row>
    <row r="28" spans="2:11" ht="31" x14ac:dyDescent="0.35">
      <c r="B28" s="46">
        <v>8</v>
      </c>
      <c r="C28" s="46" t="s">
        <v>185</v>
      </c>
      <c r="D28" s="46" t="s">
        <v>186</v>
      </c>
      <c r="E28" s="46">
        <v>40</v>
      </c>
      <c r="F28" s="70">
        <v>2</v>
      </c>
      <c r="G28" s="55">
        <v>0</v>
      </c>
      <c r="H28" s="50">
        <v>2</v>
      </c>
      <c r="I28" s="29">
        <v>0</v>
      </c>
      <c r="J28" s="29">
        <v>0</v>
      </c>
      <c r="K28" s="26"/>
    </row>
    <row r="29" spans="2:11" ht="18" x14ac:dyDescent="0.35">
      <c r="B29" s="46">
        <v>9</v>
      </c>
      <c r="C29" s="46" t="s">
        <v>102</v>
      </c>
      <c r="D29" s="46" t="s">
        <v>103</v>
      </c>
      <c r="E29" s="46">
        <v>25</v>
      </c>
      <c r="F29" s="70">
        <v>2</v>
      </c>
      <c r="G29" s="55">
        <v>0</v>
      </c>
      <c r="H29" s="50">
        <v>2</v>
      </c>
      <c r="I29" s="29">
        <v>0</v>
      </c>
      <c r="J29" s="29">
        <v>0</v>
      </c>
      <c r="K29" s="26"/>
    </row>
    <row r="30" spans="2:11" ht="31" x14ac:dyDescent="0.35">
      <c r="B30" s="46">
        <v>10</v>
      </c>
      <c r="C30" s="46" t="s">
        <v>104</v>
      </c>
      <c r="D30" s="46" t="s">
        <v>105</v>
      </c>
      <c r="E30" s="46">
        <v>30</v>
      </c>
      <c r="F30" s="70">
        <v>2</v>
      </c>
      <c r="G30" s="55">
        <v>0</v>
      </c>
      <c r="H30" s="50">
        <v>2</v>
      </c>
      <c r="I30" s="29">
        <v>0</v>
      </c>
      <c r="J30" s="29">
        <v>0</v>
      </c>
      <c r="K30" s="26"/>
    </row>
    <row r="31" spans="2:11" ht="31" x14ac:dyDescent="0.35">
      <c r="B31" s="46">
        <v>11</v>
      </c>
      <c r="C31" s="46" t="s">
        <v>187</v>
      </c>
      <c r="D31" s="46" t="s">
        <v>188</v>
      </c>
      <c r="E31" s="46">
        <v>24</v>
      </c>
      <c r="F31" s="70">
        <v>2</v>
      </c>
      <c r="G31" s="55">
        <v>0</v>
      </c>
      <c r="H31" s="50">
        <v>2</v>
      </c>
      <c r="I31" s="29">
        <v>0</v>
      </c>
      <c r="J31" s="29">
        <v>0</v>
      </c>
      <c r="K31" s="26"/>
    </row>
    <row r="32" spans="2:11" ht="18" x14ac:dyDescent="0.35">
      <c r="B32" s="31"/>
      <c r="C32" s="31"/>
      <c r="D32" s="64" t="s">
        <v>116</v>
      </c>
      <c r="E32" s="65">
        <v>501</v>
      </c>
      <c r="F32" s="53">
        <f>SUM(F21:F31)</f>
        <v>33</v>
      </c>
      <c r="G32" s="53">
        <v>9</v>
      </c>
      <c r="H32" s="53">
        <v>24</v>
      </c>
      <c r="I32" s="53">
        <v>2</v>
      </c>
      <c r="J32" s="53">
        <v>0</v>
      </c>
      <c r="K32" s="26"/>
    </row>
    <row r="33" spans="2:11" ht="18" x14ac:dyDescent="0.35">
      <c r="B33" s="61" t="s">
        <v>26</v>
      </c>
      <c r="C33" s="408" t="s">
        <v>51</v>
      </c>
      <c r="D33" s="408"/>
      <c r="E33" s="63"/>
      <c r="F33" s="62"/>
      <c r="G33" s="63"/>
      <c r="H33" s="63"/>
      <c r="I33" s="63"/>
      <c r="J33" s="63"/>
      <c r="K33" s="26"/>
    </row>
    <row r="34" spans="2:11" ht="18" x14ac:dyDescent="0.35">
      <c r="B34" s="61" t="s">
        <v>89</v>
      </c>
      <c r="C34" s="408" t="s">
        <v>90</v>
      </c>
      <c r="D34" s="408"/>
      <c r="E34" s="63"/>
      <c r="F34" s="62"/>
      <c r="G34" s="63"/>
      <c r="H34" s="63"/>
      <c r="I34" s="63"/>
      <c r="J34" s="63"/>
      <c r="K34" s="26"/>
    </row>
    <row r="35" spans="2:11" ht="18" x14ac:dyDescent="0.35">
      <c r="B35" s="31"/>
      <c r="C35" s="46" t="s">
        <v>52</v>
      </c>
      <c r="D35" s="46" t="s">
        <v>74</v>
      </c>
      <c r="E35" s="46">
        <v>41</v>
      </c>
      <c r="F35" s="49">
        <v>2</v>
      </c>
      <c r="G35" s="31">
        <v>16</v>
      </c>
      <c r="H35" s="31">
        <v>0</v>
      </c>
      <c r="I35" s="4">
        <v>0</v>
      </c>
      <c r="J35" s="4">
        <v>2</v>
      </c>
      <c r="K35" s="26"/>
    </row>
    <row r="36" spans="2:11" ht="18" x14ac:dyDescent="0.35">
      <c r="B36" s="31"/>
      <c r="C36" s="46" t="s">
        <v>57</v>
      </c>
      <c r="D36" s="46" t="s">
        <v>58</v>
      </c>
      <c r="E36" s="46">
        <v>30</v>
      </c>
      <c r="F36" s="49">
        <v>2</v>
      </c>
      <c r="G36" s="31">
        <v>16</v>
      </c>
      <c r="H36" s="31">
        <v>0</v>
      </c>
      <c r="I36" s="4">
        <v>0</v>
      </c>
      <c r="J36" s="4">
        <v>2</v>
      </c>
      <c r="K36" s="26"/>
    </row>
    <row r="37" spans="2:11" ht="18" x14ac:dyDescent="0.35">
      <c r="B37" s="31"/>
      <c r="C37" s="31"/>
      <c r="D37" s="66" t="s">
        <v>116</v>
      </c>
      <c r="E37" s="53">
        <f t="shared" ref="E37:F37" si="1">SUM(E35:E36)</f>
        <v>71</v>
      </c>
      <c r="F37" s="53">
        <f t="shared" si="1"/>
        <v>4</v>
      </c>
      <c r="G37" s="65">
        <v>32</v>
      </c>
      <c r="H37" s="65">
        <v>0</v>
      </c>
      <c r="I37" s="67">
        <v>0</v>
      </c>
      <c r="J37" s="67">
        <v>4</v>
      </c>
      <c r="K37" s="26"/>
    </row>
    <row r="38" spans="2:11" ht="18" x14ac:dyDescent="0.35">
      <c r="B38" s="61" t="s">
        <v>91</v>
      </c>
      <c r="C38" s="405" t="s">
        <v>92</v>
      </c>
      <c r="D38" s="405"/>
      <c r="E38" s="62"/>
      <c r="F38" s="62"/>
      <c r="G38" s="63"/>
      <c r="H38" s="63"/>
      <c r="I38" s="63"/>
      <c r="J38" s="63"/>
      <c r="K38" s="26"/>
    </row>
    <row r="39" spans="2:11" ht="18" x14ac:dyDescent="0.35">
      <c r="B39" s="46">
        <v>1</v>
      </c>
      <c r="C39" s="46" t="s">
        <v>95</v>
      </c>
      <c r="D39" s="56" t="s">
        <v>96</v>
      </c>
      <c r="E39" s="46">
        <v>21</v>
      </c>
      <c r="F39" s="52">
        <v>1</v>
      </c>
      <c r="G39" s="31">
        <v>0</v>
      </c>
      <c r="H39" s="4">
        <v>0</v>
      </c>
      <c r="I39" s="4">
        <v>0</v>
      </c>
      <c r="J39" s="4">
        <v>1</v>
      </c>
      <c r="K39" s="26"/>
    </row>
    <row r="40" spans="2:11" ht="18" x14ac:dyDescent="0.35">
      <c r="B40" s="46">
        <v>2</v>
      </c>
      <c r="C40" s="46" t="s">
        <v>97</v>
      </c>
      <c r="D40" s="46" t="s">
        <v>98</v>
      </c>
      <c r="E40" s="46">
        <v>65</v>
      </c>
      <c r="F40" s="52">
        <v>3</v>
      </c>
      <c r="G40" s="31">
        <v>0</v>
      </c>
      <c r="H40" s="4">
        <v>0</v>
      </c>
      <c r="I40" s="4">
        <v>0</v>
      </c>
      <c r="J40" s="4">
        <v>3</v>
      </c>
      <c r="K40" s="26"/>
    </row>
    <row r="41" spans="2:11" ht="18" x14ac:dyDescent="0.35">
      <c r="B41" s="46">
        <v>3</v>
      </c>
      <c r="C41" s="46" t="s">
        <v>99</v>
      </c>
      <c r="D41" s="46" t="s">
        <v>100</v>
      </c>
      <c r="E41" s="46">
        <v>29</v>
      </c>
      <c r="F41" s="52">
        <v>2</v>
      </c>
      <c r="G41" s="31">
        <v>0</v>
      </c>
      <c r="H41" s="4">
        <v>0</v>
      </c>
      <c r="I41" s="4">
        <v>0</v>
      </c>
      <c r="J41" s="4">
        <v>2</v>
      </c>
      <c r="K41" s="26"/>
    </row>
    <row r="42" spans="2:11" ht="31" x14ac:dyDescent="0.35">
      <c r="B42" s="46">
        <v>4</v>
      </c>
      <c r="C42" s="46" t="s">
        <v>101</v>
      </c>
      <c r="D42" s="46" t="s">
        <v>189</v>
      </c>
      <c r="E42" s="46">
        <v>43</v>
      </c>
      <c r="F42" s="52">
        <v>2</v>
      </c>
      <c r="G42" s="31">
        <v>0</v>
      </c>
      <c r="H42" s="4">
        <v>0</v>
      </c>
      <c r="I42" s="4">
        <v>0</v>
      </c>
      <c r="J42" s="4">
        <v>2</v>
      </c>
      <c r="K42" s="26"/>
    </row>
    <row r="43" spans="2:11" ht="18" x14ac:dyDescent="0.35">
      <c r="B43" s="46">
        <v>5</v>
      </c>
      <c r="C43" s="46" t="s">
        <v>85</v>
      </c>
      <c r="D43" s="46" t="s">
        <v>86</v>
      </c>
      <c r="E43" s="46">
        <v>75</v>
      </c>
      <c r="F43" s="49">
        <v>4</v>
      </c>
      <c r="G43" s="31">
        <v>0</v>
      </c>
      <c r="H43" s="4">
        <v>0</v>
      </c>
      <c r="I43" s="4">
        <v>0</v>
      </c>
      <c r="J43" s="4">
        <v>4</v>
      </c>
      <c r="K43" s="26"/>
    </row>
    <row r="44" spans="2:11" ht="18" x14ac:dyDescent="0.35">
      <c r="B44" s="46">
        <v>6</v>
      </c>
      <c r="C44" s="46" t="s">
        <v>87</v>
      </c>
      <c r="D44" s="56" t="s">
        <v>88</v>
      </c>
      <c r="E44" s="46">
        <v>30</v>
      </c>
      <c r="F44" s="49">
        <v>2</v>
      </c>
      <c r="G44" s="31">
        <v>0</v>
      </c>
      <c r="H44" s="4">
        <v>0</v>
      </c>
      <c r="I44" s="4">
        <v>0</v>
      </c>
      <c r="J44" s="4">
        <v>2</v>
      </c>
      <c r="K44" s="26"/>
    </row>
    <row r="45" spans="2:11" ht="18" x14ac:dyDescent="0.35">
      <c r="B45" s="31"/>
      <c r="C45" s="31"/>
      <c r="D45" s="64" t="s">
        <v>116</v>
      </c>
      <c r="E45" s="53">
        <f>SUM(E39:E44)</f>
        <v>263</v>
      </c>
      <c r="F45" s="53">
        <f>SUM(F39:F44)</f>
        <v>14</v>
      </c>
      <c r="G45" s="65">
        <v>0</v>
      </c>
      <c r="H45" s="67">
        <v>0</v>
      </c>
      <c r="I45" s="67">
        <v>0</v>
      </c>
      <c r="J45" s="68">
        <v>14</v>
      </c>
      <c r="K45" s="26"/>
    </row>
    <row r="46" spans="2:11" ht="33" x14ac:dyDescent="0.35">
      <c r="B46" s="31"/>
      <c r="C46" s="31"/>
      <c r="D46" s="64" t="s">
        <v>117</v>
      </c>
      <c r="E46" s="69">
        <f>E19+E32+E37+E45</f>
        <v>1368.8</v>
      </c>
      <c r="F46" s="69">
        <f>F19+F32+F37+F45</f>
        <v>91</v>
      </c>
      <c r="G46" s="69">
        <f t="shared" ref="G46:I46" si="2">G19+G32+G37+G45</f>
        <v>56</v>
      </c>
      <c r="H46" s="69">
        <f t="shared" si="2"/>
        <v>49</v>
      </c>
      <c r="I46" s="69">
        <f t="shared" si="2"/>
        <v>2</v>
      </c>
      <c r="J46" s="69">
        <f>J19+J32+J37+J45</f>
        <v>18</v>
      </c>
      <c r="K46" s="26"/>
    </row>
    <row r="47" spans="2:11" ht="33.65" customHeight="1" x14ac:dyDescent="0.35"/>
    <row r="50" spans="4:7" ht="25.5" customHeight="1" x14ac:dyDescent="0.35">
      <c r="D50" s="77" t="s">
        <v>193</v>
      </c>
    </row>
    <row r="51" spans="4:7" ht="27" customHeight="1" x14ac:dyDescent="0.35">
      <c r="D51" s="75" t="s">
        <v>194</v>
      </c>
      <c r="E51" s="75" t="s">
        <v>2</v>
      </c>
      <c r="F51" s="75" t="s">
        <v>191</v>
      </c>
      <c r="G51" s="75" t="s">
        <v>192</v>
      </c>
    </row>
    <row r="52" spans="4:7" ht="27" customHeight="1" x14ac:dyDescent="0.35">
      <c r="D52" s="73" t="s">
        <v>8</v>
      </c>
      <c r="E52" s="74" t="s">
        <v>9</v>
      </c>
      <c r="F52" s="76">
        <v>29</v>
      </c>
      <c r="G52" s="76">
        <v>17</v>
      </c>
    </row>
    <row r="53" spans="4:7" ht="27" customHeight="1" x14ac:dyDescent="0.35">
      <c r="D53" s="73" t="s">
        <v>174</v>
      </c>
      <c r="E53" s="74" t="s">
        <v>175</v>
      </c>
      <c r="F53" s="76">
        <v>27</v>
      </c>
      <c r="G53" s="76">
        <v>17</v>
      </c>
    </row>
  </sheetData>
  <mergeCells count="13">
    <mergeCell ref="C38:D38"/>
    <mergeCell ref="C4:J4"/>
    <mergeCell ref="I2:J2"/>
    <mergeCell ref="C5:D5"/>
    <mergeCell ref="C20:J20"/>
    <mergeCell ref="C33:D33"/>
    <mergeCell ref="C34:D34"/>
    <mergeCell ref="G2:H2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Q176"/>
  <sheetViews>
    <sheetView topLeftCell="A49" zoomScale="55" zoomScaleNormal="55" workbookViewId="0">
      <selection activeCell="C25" sqref="C25"/>
    </sheetView>
  </sheetViews>
  <sheetFormatPr defaultColWidth="8.7265625" defaultRowHeight="14.5" x14ac:dyDescent="0.35"/>
  <cols>
    <col min="1" max="1" width="8.7265625" style="103"/>
    <col min="2" max="2" width="8.7265625" style="103" customWidth="1"/>
    <col min="3" max="3" width="44.1796875" style="205" hidden="1" customWidth="1"/>
    <col min="4" max="4" width="8.7265625" style="103" customWidth="1"/>
    <col min="5" max="5" width="11.81640625" style="205" customWidth="1"/>
    <col min="6" max="6" width="9.453125" style="206" customWidth="1"/>
    <col min="7" max="7" width="9.1796875" style="207" hidden="1" customWidth="1"/>
    <col min="8" max="8" width="11.453125" style="208" hidden="1" customWidth="1"/>
    <col min="9" max="9" width="8.7265625" style="103" hidden="1" customWidth="1"/>
    <col min="10" max="10" width="11.1796875" style="207" customWidth="1"/>
    <col min="11" max="11" width="8.7265625" style="205" customWidth="1"/>
    <col min="12" max="12" width="8.7265625" style="209" customWidth="1"/>
    <col min="13" max="13" width="14.81640625" style="210" customWidth="1"/>
    <col min="14" max="14" width="11.1796875" style="211" customWidth="1"/>
    <col min="15" max="16" width="11.81640625" style="95" customWidth="1"/>
    <col min="17" max="17" width="8.81640625" style="95" customWidth="1"/>
    <col min="18" max="18" width="10.81640625" style="95" customWidth="1"/>
    <col min="19" max="19" width="11.81640625" style="103" customWidth="1"/>
    <col min="20" max="20" width="16.453125" style="103" customWidth="1"/>
    <col min="21" max="21" width="16.7265625" style="205" customWidth="1"/>
    <col min="22" max="22" width="23.453125" style="103" customWidth="1"/>
    <col min="23" max="23" width="13.453125" style="146" bestFit="1" customWidth="1"/>
    <col min="24" max="24" width="8.7265625" style="146" hidden="1" customWidth="1"/>
    <col min="25" max="25" width="29.453125" style="146" hidden="1" customWidth="1"/>
    <col min="26" max="26" width="17.81640625" style="210" hidden="1" customWidth="1"/>
    <col min="27" max="27" width="11.81640625" style="210" hidden="1" customWidth="1"/>
    <col min="28" max="28" width="9.453125" style="210" hidden="1" customWidth="1"/>
    <col min="29" max="29" width="9.1796875" style="210" hidden="1" customWidth="1"/>
    <col min="30" max="30" width="11.453125" style="210" hidden="1" customWidth="1"/>
    <col min="31" max="31" width="8.7265625" style="146" hidden="1" customWidth="1"/>
    <col min="32" max="32" width="11.1796875" style="210" hidden="1" customWidth="1"/>
    <col min="33" max="33" width="8.7265625" style="210" hidden="1" customWidth="1"/>
    <col min="34" max="34" width="8.7265625" style="209" hidden="1" customWidth="1"/>
    <col min="35" max="35" width="24.453125" style="210" customWidth="1"/>
    <col min="36" max="36" width="16.81640625" style="102" customWidth="1"/>
    <col min="37" max="39" width="12.81640625" style="102" customWidth="1"/>
    <col min="40" max="16384" width="8.7265625" style="103"/>
  </cols>
  <sheetData>
    <row r="1" spans="1:43" ht="17.5" x14ac:dyDescent="0.35">
      <c r="A1" s="413" t="s">
        <v>202</v>
      </c>
      <c r="B1" s="414"/>
      <c r="C1" s="414"/>
      <c r="D1" s="88"/>
      <c r="E1" s="89"/>
      <c r="F1" s="90"/>
      <c r="G1" s="91"/>
      <c r="H1" s="92"/>
      <c r="I1" s="88"/>
      <c r="J1" s="91"/>
      <c r="K1" s="89"/>
      <c r="L1" s="93"/>
      <c r="M1" s="93"/>
      <c r="N1" s="94"/>
      <c r="R1" s="96"/>
      <c r="S1" s="97"/>
      <c r="T1" s="97"/>
      <c r="U1" s="98"/>
      <c r="V1" s="97"/>
      <c r="W1" s="99"/>
      <c r="X1" s="99"/>
      <c r="Y1" s="99"/>
      <c r="Z1" s="100"/>
      <c r="AA1" s="100"/>
      <c r="AB1" s="100"/>
      <c r="AC1" s="100"/>
      <c r="AD1" s="100"/>
      <c r="AE1" s="99"/>
      <c r="AF1" s="100"/>
      <c r="AG1" s="100"/>
      <c r="AH1" s="100"/>
      <c r="AI1" s="101" t="s">
        <v>203</v>
      </c>
    </row>
    <row r="2" spans="1:43" ht="32.15" customHeight="1" thickBot="1" x14ac:dyDescent="0.4">
      <c r="A2" s="415"/>
      <c r="B2" s="415"/>
      <c r="C2" s="415"/>
      <c r="D2" s="104"/>
      <c r="E2" s="105"/>
      <c r="F2" s="106"/>
      <c r="G2" s="107"/>
      <c r="H2" s="108"/>
      <c r="I2" s="104"/>
      <c r="J2" s="107"/>
      <c r="K2" s="105"/>
      <c r="L2" s="109"/>
      <c r="M2" s="109"/>
      <c r="N2" s="94"/>
      <c r="R2" s="96"/>
      <c r="S2" s="97"/>
      <c r="T2" s="97"/>
      <c r="U2" s="98"/>
      <c r="V2" s="97"/>
      <c r="W2" s="99"/>
      <c r="X2" s="99"/>
      <c r="Y2" s="99"/>
      <c r="Z2" s="100"/>
      <c r="AA2" s="100"/>
      <c r="AB2" s="100"/>
      <c r="AC2" s="100"/>
      <c r="AD2" s="100"/>
      <c r="AE2" s="99"/>
      <c r="AF2" s="100"/>
      <c r="AG2" s="100"/>
      <c r="AH2" s="100"/>
      <c r="AI2" s="110" t="s">
        <v>30</v>
      </c>
    </row>
    <row r="3" spans="1:43" ht="18.5" thickBot="1" x14ac:dyDescent="0.4">
      <c r="A3" s="111"/>
      <c r="B3" s="111"/>
      <c r="C3" s="112"/>
      <c r="D3" s="111"/>
      <c r="E3" s="112"/>
      <c r="F3" s="113"/>
      <c r="G3" s="114"/>
      <c r="H3" s="115"/>
      <c r="I3" s="111"/>
      <c r="J3" s="114"/>
      <c r="K3" s="112"/>
      <c r="L3" s="116"/>
      <c r="M3" s="116"/>
      <c r="N3" s="117"/>
      <c r="O3" s="118" t="s">
        <v>204</v>
      </c>
      <c r="R3" s="96"/>
      <c r="S3" s="97"/>
      <c r="T3" s="97"/>
      <c r="U3" s="98"/>
      <c r="V3" s="97"/>
      <c r="W3" s="99"/>
      <c r="X3" s="99"/>
      <c r="Y3" s="99"/>
      <c r="Z3" s="100"/>
      <c r="AA3" s="100"/>
      <c r="AB3" s="100"/>
      <c r="AC3" s="100"/>
      <c r="AD3" s="100"/>
      <c r="AE3" s="99"/>
      <c r="AF3" s="100"/>
      <c r="AG3" s="100"/>
      <c r="AH3" s="100"/>
      <c r="AI3" s="119" t="s">
        <v>205</v>
      </c>
    </row>
    <row r="4" spans="1:43" ht="46.5" customHeight="1" thickBot="1" x14ac:dyDescent="0.4">
      <c r="A4" s="416" t="s">
        <v>0</v>
      </c>
      <c r="B4" s="416" t="s">
        <v>27</v>
      </c>
      <c r="C4" s="416" t="s">
        <v>28</v>
      </c>
      <c r="D4" s="120" t="s">
        <v>29</v>
      </c>
      <c r="E4" s="411" t="s">
        <v>60</v>
      </c>
      <c r="F4" s="417" t="s">
        <v>61</v>
      </c>
      <c r="G4" s="409" t="s">
        <v>62</v>
      </c>
      <c r="H4" s="410" t="s">
        <v>63</v>
      </c>
      <c r="I4" s="411" t="s">
        <v>64</v>
      </c>
      <c r="J4" s="409" t="s">
        <v>65</v>
      </c>
      <c r="K4" s="411" t="s">
        <v>66</v>
      </c>
      <c r="L4" s="412" t="s">
        <v>206</v>
      </c>
      <c r="M4" s="411" t="s">
        <v>68</v>
      </c>
      <c r="N4" s="425" t="s">
        <v>207</v>
      </c>
      <c r="O4" s="426" t="s">
        <v>68</v>
      </c>
      <c r="P4" s="122"/>
      <c r="Q4" s="122"/>
      <c r="R4" s="96"/>
      <c r="S4" s="423"/>
      <c r="T4" s="423"/>
      <c r="U4" s="423"/>
      <c r="V4" s="423"/>
      <c r="W4" s="124"/>
      <c r="X4" s="424"/>
      <c r="Y4" s="424"/>
      <c r="Z4" s="422"/>
      <c r="AA4" s="422"/>
      <c r="AB4" s="422"/>
      <c r="AC4" s="422"/>
      <c r="AD4" s="422"/>
      <c r="AE4" s="422"/>
      <c r="AF4" s="422"/>
      <c r="AG4" s="422"/>
      <c r="AH4" s="422"/>
      <c r="AI4" s="119" t="s">
        <v>208</v>
      </c>
    </row>
    <row r="5" spans="1:43" ht="29.15" customHeight="1" thickBot="1" x14ac:dyDescent="0.4">
      <c r="A5" s="416"/>
      <c r="B5" s="416"/>
      <c r="C5" s="416"/>
      <c r="D5" s="120" t="s">
        <v>30</v>
      </c>
      <c r="E5" s="411"/>
      <c r="F5" s="417"/>
      <c r="G5" s="409"/>
      <c r="H5" s="410"/>
      <c r="I5" s="411"/>
      <c r="J5" s="409"/>
      <c r="K5" s="411"/>
      <c r="L5" s="412"/>
      <c r="M5" s="411"/>
      <c r="N5" s="425"/>
      <c r="O5" s="426"/>
      <c r="P5" s="122"/>
      <c r="Q5" s="122"/>
      <c r="R5" s="96"/>
      <c r="S5" s="423"/>
      <c r="T5" s="423"/>
      <c r="U5" s="423"/>
      <c r="V5" s="423"/>
      <c r="W5" s="124"/>
      <c r="X5" s="424"/>
      <c r="Y5" s="424"/>
      <c r="Z5" s="422"/>
      <c r="AA5" s="422"/>
      <c r="AB5" s="422"/>
      <c r="AC5" s="422"/>
      <c r="AD5" s="422"/>
      <c r="AE5" s="422"/>
      <c r="AF5" s="422"/>
      <c r="AG5" s="422"/>
      <c r="AH5" s="422"/>
      <c r="AI5" s="119">
        <v>35</v>
      </c>
      <c r="AK5" s="103"/>
      <c r="AL5" s="103"/>
      <c r="AM5" s="103"/>
      <c r="AN5" s="418"/>
      <c r="AO5" s="126"/>
      <c r="AP5" s="127"/>
      <c r="AQ5" s="128" t="s">
        <v>127</v>
      </c>
    </row>
    <row r="6" spans="1:43" ht="18.5" thickBot="1" x14ac:dyDescent="0.4">
      <c r="A6" s="120" t="s">
        <v>24</v>
      </c>
      <c r="B6" s="419" t="s">
        <v>31</v>
      </c>
      <c r="C6" s="419"/>
      <c r="D6" s="419"/>
      <c r="E6" s="130"/>
      <c r="F6" s="131"/>
      <c r="G6" s="132"/>
      <c r="H6" s="133"/>
      <c r="I6" s="134"/>
      <c r="J6" s="132"/>
      <c r="K6" s="130"/>
      <c r="L6" s="135"/>
      <c r="M6" s="135"/>
      <c r="N6" s="136"/>
      <c r="O6" s="118"/>
      <c r="R6" s="96"/>
      <c r="S6" s="123"/>
      <c r="T6" s="420"/>
      <c r="U6" s="420"/>
      <c r="V6" s="420"/>
      <c r="W6" s="420"/>
      <c r="X6" s="420"/>
      <c r="Y6" s="420"/>
      <c r="Z6" s="138"/>
      <c r="AA6" s="138"/>
      <c r="AB6" s="138"/>
      <c r="AC6" s="138"/>
      <c r="AD6" s="138"/>
      <c r="AE6" s="139"/>
      <c r="AF6" s="138"/>
      <c r="AG6" s="138"/>
      <c r="AH6" s="138"/>
      <c r="AI6" s="119" t="s">
        <v>209</v>
      </c>
      <c r="AK6" s="140"/>
      <c r="AL6" s="141"/>
      <c r="AM6" s="103"/>
      <c r="AN6" s="418"/>
      <c r="AO6" s="142"/>
      <c r="AP6" s="143"/>
      <c r="AQ6" s="144" t="s">
        <v>126</v>
      </c>
    </row>
    <row r="7" spans="1:43" ht="18.5" thickBot="1" x14ac:dyDescent="0.4">
      <c r="A7" s="120">
        <v>1.1000000000000001</v>
      </c>
      <c r="B7" s="419" t="s">
        <v>76</v>
      </c>
      <c r="C7" s="419"/>
      <c r="D7" s="129"/>
      <c r="E7" s="130"/>
      <c r="F7" s="131"/>
      <c r="G7" s="132"/>
      <c r="H7" s="133"/>
      <c r="I7" s="134"/>
      <c r="J7" s="132"/>
      <c r="K7" s="130"/>
      <c r="L7" s="135"/>
      <c r="M7" s="135"/>
      <c r="N7" s="136"/>
      <c r="O7" s="118"/>
      <c r="R7" s="96"/>
      <c r="S7" s="123"/>
      <c r="T7" s="420"/>
      <c r="U7" s="420"/>
      <c r="V7" s="137"/>
      <c r="W7" s="145"/>
      <c r="X7" s="145"/>
      <c r="Y7" s="145"/>
      <c r="Z7" s="138"/>
      <c r="AA7" s="138"/>
      <c r="AB7" s="138"/>
      <c r="AC7" s="138"/>
      <c r="AD7" s="138"/>
      <c r="AE7" s="139"/>
      <c r="AF7" s="138"/>
      <c r="AG7" s="138"/>
      <c r="AH7" s="138"/>
      <c r="AI7" s="119">
        <v>20</v>
      </c>
      <c r="AK7" s="421"/>
      <c r="AL7" s="141"/>
      <c r="AM7" s="103"/>
      <c r="AN7" s="146"/>
      <c r="AO7" s="146"/>
      <c r="AP7" s="146"/>
      <c r="AQ7" s="146">
        <f>AP7*1.5</f>
        <v>0</v>
      </c>
    </row>
    <row r="8" spans="1:43" ht="24.65" customHeight="1" thickBot="1" x14ac:dyDescent="0.4">
      <c r="A8" s="121">
        <v>1</v>
      </c>
      <c r="B8" s="121" t="s">
        <v>32</v>
      </c>
      <c r="C8" s="121" t="s">
        <v>33</v>
      </c>
      <c r="D8" s="121">
        <v>24.4</v>
      </c>
      <c r="E8" s="130">
        <v>50</v>
      </c>
      <c r="F8" s="131">
        <f t="shared" ref="F8:F15" si="0">D8/0.65-1</f>
        <v>36.538461538461533</v>
      </c>
      <c r="G8" s="132">
        <f t="shared" ref="G8:G20" si="1">D8*60/E8</f>
        <v>29.28</v>
      </c>
      <c r="H8" s="133">
        <f>F8*0.3</f>
        <v>10.96153846153846</v>
      </c>
      <c r="I8" s="130">
        <v>6</v>
      </c>
      <c r="J8" s="132">
        <f>G8+H8+I8</f>
        <v>46.241538461538461</v>
      </c>
      <c r="K8" s="132">
        <f>J8*2</f>
        <v>92.483076923076922</v>
      </c>
      <c r="L8" s="147">
        <v>20</v>
      </c>
      <c r="M8" s="148">
        <f>K8/L8</f>
        <v>4.6241538461538463</v>
      </c>
      <c r="N8" s="147">
        <f>(4.5*60/L8)*2+(9.5*60/60)*2</f>
        <v>46</v>
      </c>
      <c r="O8" s="149">
        <v>5</v>
      </c>
      <c r="P8" s="150"/>
      <c r="Q8" s="150"/>
      <c r="R8" s="96"/>
      <c r="S8" s="151"/>
      <c r="T8" s="151"/>
      <c r="U8" s="151"/>
      <c r="V8" s="152"/>
      <c r="W8" s="125"/>
      <c r="X8" s="125"/>
      <c r="Y8" s="125"/>
      <c r="Z8" s="138"/>
      <c r="AA8" s="138"/>
      <c r="AB8" s="138"/>
      <c r="AC8" s="138"/>
      <c r="AD8" s="138"/>
      <c r="AE8" s="138"/>
      <c r="AF8" s="138"/>
      <c r="AG8" s="138"/>
      <c r="AH8" s="138"/>
      <c r="AI8" s="119" t="s">
        <v>210</v>
      </c>
      <c r="AK8" s="421"/>
      <c r="AL8" s="141"/>
      <c r="AM8" s="103"/>
      <c r="AN8" s="146"/>
      <c r="AO8" s="146"/>
      <c r="AP8" s="146"/>
      <c r="AQ8" s="146">
        <f t="shared" ref="AQ8:AQ9" si="2">AP8*1.5</f>
        <v>0</v>
      </c>
    </row>
    <row r="9" spans="1:43" ht="24.65" customHeight="1" thickBot="1" x14ac:dyDescent="0.4">
      <c r="A9" s="121">
        <v>2</v>
      </c>
      <c r="B9" s="121" t="s">
        <v>34</v>
      </c>
      <c r="C9" s="121" t="s">
        <v>131</v>
      </c>
      <c r="D9" s="121">
        <v>25.2</v>
      </c>
      <c r="E9" s="130">
        <v>50</v>
      </c>
      <c r="F9" s="131">
        <f t="shared" si="0"/>
        <v>37.769230769230766</v>
      </c>
      <c r="G9" s="132">
        <f t="shared" si="1"/>
        <v>30.24</v>
      </c>
      <c r="H9" s="133">
        <f t="shared" ref="H9:H29" si="3">F9*0.3</f>
        <v>11.33076923076923</v>
      </c>
      <c r="I9" s="130">
        <v>6</v>
      </c>
      <c r="J9" s="132">
        <f t="shared" ref="J9:J18" si="4">G9+H9+I9</f>
        <v>47.57076923076923</v>
      </c>
      <c r="K9" s="132">
        <f t="shared" ref="K9:K18" si="5">J9*2</f>
        <v>95.14153846153846</v>
      </c>
      <c r="L9" s="147">
        <v>20</v>
      </c>
      <c r="M9" s="148">
        <f t="shared" ref="M9:M20" si="6">K9/L9</f>
        <v>4.757076923076923</v>
      </c>
      <c r="N9" s="147">
        <f>(4.5*60/L9)*2+(9.5*60/60)*2</f>
        <v>46</v>
      </c>
      <c r="O9" s="149">
        <v>5</v>
      </c>
      <c r="P9" s="150"/>
      <c r="Q9" s="150"/>
      <c r="R9" s="96"/>
      <c r="S9" s="151"/>
      <c r="T9" s="151"/>
      <c r="U9" s="151"/>
      <c r="V9" s="152"/>
      <c r="W9" s="125"/>
      <c r="X9" s="125"/>
      <c r="Y9" s="125"/>
      <c r="Z9" s="138"/>
      <c r="AA9" s="138"/>
      <c r="AB9" s="138"/>
      <c r="AC9" s="138"/>
      <c r="AD9" s="138"/>
      <c r="AE9" s="138"/>
      <c r="AF9" s="138"/>
      <c r="AG9" s="138"/>
      <c r="AH9" s="138"/>
      <c r="AI9" s="119">
        <v>50</v>
      </c>
      <c r="AK9" s="421"/>
      <c r="AL9" s="141"/>
      <c r="AM9" s="103"/>
      <c r="AN9" s="146"/>
      <c r="AO9" s="146"/>
      <c r="AP9" s="146"/>
      <c r="AQ9" s="146">
        <f t="shared" si="2"/>
        <v>0</v>
      </c>
    </row>
    <row r="10" spans="1:43" ht="24.65" customHeight="1" thickBot="1" x14ac:dyDescent="0.4">
      <c r="A10" s="121">
        <v>3</v>
      </c>
      <c r="B10" s="121" t="s">
        <v>36</v>
      </c>
      <c r="C10" s="121" t="s">
        <v>69</v>
      </c>
      <c r="D10" s="121">
        <v>20</v>
      </c>
      <c r="E10" s="130">
        <v>55</v>
      </c>
      <c r="F10" s="131">
        <f t="shared" si="0"/>
        <v>29.769230769230766</v>
      </c>
      <c r="G10" s="132">
        <f t="shared" si="1"/>
        <v>21.818181818181817</v>
      </c>
      <c r="H10" s="133">
        <f t="shared" si="3"/>
        <v>8.9307692307692292</v>
      </c>
      <c r="I10" s="130">
        <v>6</v>
      </c>
      <c r="J10" s="132">
        <f t="shared" si="4"/>
        <v>36.748951048951042</v>
      </c>
      <c r="K10" s="132">
        <f t="shared" si="5"/>
        <v>73.497902097902085</v>
      </c>
      <c r="L10" s="153">
        <v>40</v>
      </c>
      <c r="M10" s="154">
        <f t="shared" si="6"/>
        <v>1.8374475524475522</v>
      </c>
      <c r="N10" s="153">
        <f>(4.5*60/L10)*2+(9.5*60/120)*2</f>
        <v>23</v>
      </c>
      <c r="O10" s="149">
        <v>2</v>
      </c>
      <c r="P10" s="150"/>
      <c r="Q10" s="150"/>
      <c r="R10" s="96"/>
      <c r="S10" s="151"/>
      <c r="T10" s="151"/>
      <c r="U10" s="151"/>
      <c r="V10" s="152"/>
      <c r="W10" s="125"/>
      <c r="X10" s="125"/>
      <c r="Y10" s="125"/>
      <c r="Z10" s="138"/>
      <c r="AA10" s="138"/>
      <c r="AB10" s="138"/>
      <c r="AC10" s="138"/>
      <c r="AD10" s="138"/>
      <c r="AE10" s="138"/>
      <c r="AF10" s="138"/>
      <c r="AG10" s="138"/>
      <c r="AH10" s="138"/>
      <c r="AI10" s="119">
        <v>37</v>
      </c>
      <c r="AK10" s="421"/>
      <c r="AL10" s="141"/>
      <c r="AM10" s="103"/>
      <c r="AN10" s="146"/>
      <c r="AO10" s="146"/>
      <c r="AP10" s="146"/>
      <c r="AQ10" s="146">
        <f>AP10*1.5</f>
        <v>0</v>
      </c>
    </row>
    <row r="11" spans="1:43" s="166" customFormat="1" ht="24.65" customHeight="1" thickBot="1" x14ac:dyDescent="0.4">
      <c r="A11" s="155">
        <v>4</v>
      </c>
      <c r="B11" s="155" t="s">
        <v>37</v>
      </c>
      <c r="C11" s="155" t="s">
        <v>38</v>
      </c>
      <c r="D11" s="155">
        <v>43.9</v>
      </c>
      <c r="E11" s="156">
        <v>55</v>
      </c>
      <c r="F11" s="157">
        <f t="shared" si="0"/>
        <v>66.538461538461533</v>
      </c>
      <c r="G11" s="158">
        <f t="shared" si="1"/>
        <v>47.890909090909091</v>
      </c>
      <c r="H11" s="159">
        <f t="shared" si="3"/>
        <v>19.96153846153846</v>
      </c>
      <c r="I11" s="156">
        <v>6</v>
      </c>
      <c r="J11" s="158">
        <f t="shared" si="4"/>
        <v>73.852447552447558</v>
      </c>
      <c r="K11" s="158">
        <f t="shared" si="5"/>
        <v>147.70489510489512</v>
      </c>
      <c r="L11" s="147">
        <v>60</v>
      </c>
      <c r="M11" s="148">
        <f t="shared" si="6"/>
        <v>2.4617482517482521</v>
      </c>
      <c r="N11" s="147">
        <f>(4.5*60/L11)*2+(9.5*60/90)*2</f>
        <v>21.666666666666664</v>
      </c>
      <c r="O11" s="147">
        <v>3</v>
      </c>
      <c r="P11" s="160"/>
      <c r="Q11" s="160"/>
      <c r="R11" s="161"/>
      <c r="S11" s="162"/>
      <c r="T11" s="162"/>
      <c r="U11" s="162"/>
      <c r="V11" s="163"/>
      <c r="W11" s="164"/>
      <c r="X11" s="164"/>
      <c r="Y11" s="164"/>
      <c r="Z11" s="160"/>
      <c r="AA11" s="160"/>
      <c r="AB11" s="160"/>
      <c r="AC11" s="160"/>
      <c r="AD11" s="160"/>
      <c r="AE11" s="160"/>
      <c r="AF11" s="160"/>
      <c r="AG11" s="160"/>
      <c r="AH11" s="160"/>
      <c r="AI11" s="119" t="s">
        <v>211</v>
      </c>
      <c r="AJ11" s="165"/>
      <c r="AK11" s="165"/>
      <c r="AL11" s="165"/>
      <c r="AM11" s="165"/>
    </row>
    <row r="12" spans="1:43" ht="24.65" customHeight="1" thickBot="1" x14ac:dyDescent="0.4">
      <c r="A12" s="121">
        <v>5</v>
      </c>
      <c r="B12" s="121" t="s">
        <v>39</v>
      </c>
      <c r="C12" s="121" t="s">
        <v>40</v>
      </c>
      <c r="D12" s="121">
        <v>37</v>
      </c>
      <c r="E12" s="130">
        <v>55</v>
      </c>
      <c r="F12" s="131">
        <f t="shared" si="0"/>
        <v>55.92307692307692</v>
      </c>
      <c r="G12" s="132">
        <f t="shared" si="1"/>
        <v>40.363636363636367</v>
      </c>
      <c r="H12" s="133">
        <f t="shared" si="3"/>
        <v>16.776923076923076</v>
      </c>
      <c r="I12" s="130">
        <v>6</v>
      </c>
      <c r="J12" s="132">
        <f t="shared" si="4"/>
        <v>63.140559440559443</v>
      </c>
      <c r="K12" s="132">
        <f t="shared" si="5"/>
        <v>126.28111888111889</v>
      </c>
      <c r="L12" s="167">
        <v>60</v>
      </c>
      <c r="M12" s="168">
        <f t="shared" si="6"/>
        <v>2.1046853146853146</v>
      </c>
      <c r="N12" s="167">
        <f>(4.5*60/L12)*2+(9.5*60/120)*2</f>
        <v>18.5</v>
      </c>
      <c r="O12" s="149">
        <v>2</v>
      </c>
      <c r="P12" s="150"/>
      <c r="Q12" s="150"/>
      <c r="R12" s="96"/>
      <c r="S12" s="151"/>
      <c r="T12" s="151"/>
      <c r="U12" s="151"/>
      <c r="V12" s="152"/>
      <c r="W12" s="125"/>
      <c r="X12" s="125"/>
      <c r="Y12" s="125"/>
      <c r="Z12" s="138"/>
      <c r="AA12" s="138"/>
      <c r="AB12" s="138"/>
      <c r="AC12" s="138"/>
      <c r="AD12" s="138"/>
      <c r="AE12" s="138"/>
      <c r="AF12" s="138"/>
      <c r="AG12" s="138"/>
      <c r="AH12" s="138"/>
      <c r="AI12" s="119">
        <v>15</v>
      </c>
    </row>
    <row r="13" spans="1:43" ht="24.65" customHeight="1" thickBot="1" x14ac:dyDescent="0.4">
      <c r="A13" s="121">
        <v>6</v>
      </c>
      <c r="B13" s="121" t="s">
        <v>41</v>
      </c>
      <c r="C13" s="121" t="s">
        <v>177</v>
      </c>
      <c r="D13" s="121">
        <v>24.5</v>
      </c>
      <c r="E13" s="130">
        <v>50</v>
      </c>
      <c r="F13" s="131">
        <f t="shared" si="0"/>
        <v>36.692307692307693</v>
      </c>
      <c r="G13" s="132">
        <f t="shared" si="1"/>
        <v>29.4</v>
      </c>
      <c r="H13" s="133">
        <f t="shared" si="3"/>
        <v>11.007692307692308</v>
      </c>
      <c r="I13" s="130">
        <v>6</v>
      </c>
      <c r="J13" s="132">
        <f t="shared" si="4"/>
        <v>46.407692307692308</v>
      </c>
      <c r="K13" s="132">
        <f t="shared" si="5"/>
        <v>92.815384615384616</v>
      </c>
      <c r="L13" s="136">
        <v>30</v>
      </c>
      <c r="M13" s="169">
        <f t="shared" si="6"/>
        <v>3.0938461538461537</v>
      </c>
      <c r="N13" s="136">
        <f>(4.5*60/L13)*2+(9.5*60/90)*2</f>
        <v>30.666666666666664</v>
      </c>
      <c r="O13" s="149">
        <v>3</v>
      </c>
      <c r="P13" s="150"/>
      <c r="Q13" s="150"/>
      <c r="R13" s="96"/>
      <c r="S13" s="151"/>
      <c r="T13" s="151"/>
      <c r="U13" s="151"/>
      <c r="V13" s="152"/>
      <c r="W13" s="125"/>
      <c r="X13" s="125"/>
      <c r="Y13" s="125"/>
      <c r="Z13" s="138"/>
      <c r="AA13" s="138"/>
      <c r="AB13" s="138"/>
      <c r="AC13" s="138"/>
      <c r="AD13" s="138"/>
      <c r="AE13" s="138"/>
      <c r="AF13" s="138"/>
      <c r="AG13" s="138"/>
      <c r="AH13" s="138"/>
      <c r="AI13" s="119" t="s">
        <v>212</v>
      </c>
    </row>
    <row r="14" spans="1:43" ht="24.65" customHeight="1" thickBot="1" x14ac:dyDescent="0.4">
      <c r="A14" s="121">
        <v>7</v>
      </c>
      <c r="B14" s="121" t="s">
        <v>43</v>
      </c>
      <c r="C14" s="121" t="s">
        <v>178</v>
      </c>
      <c r="D14" s="121">
        <v>24.2</v>
      </c>
      <c r="E14" s="130">
        <v>50</v>
      </c>
      <c r="F14" s="131">
        <f t="shared" si="0"/>
        <v>36.230769230769226</v>
      </c>
      <c r="G14" s="132">
        <f t="shared" si="1"/>
        <v>29.04</v>
      </c>
      <c r="H14" s="133">
        <f t="shared" si="3"/>
        <v>10.869230769230768</v>
      </c>
      <c r="I14" s="130">
        <v>6</v>
      </c>
      <c r="J14" s="132">
        <f t="shared" si="4"/>
        <v>45.909230769230767</v>
      </c>
      <c r="K14" s="132">
        <f t="shared" si="5"/>
        <v>91.818461538461534</v>
      </c>
      <c r="L14" s="136">
        <v>30</v>
      </c>
      <c r="M14" s="169">
        <f t="shared" si="6"/>
        <v>3.0606153846153843</v>
      </c>
      <c r="N14" s="136">
        <f>(4.5*60/L14)*2+(9.5*60/90)*2</f>
        <v>30.666666666666664</v>
      </c>
      <c r="O14" s="149">
        <v>3</v>
      </c>
      <c r="P14" s="150"/>
      <c r="Q14" s="150"/>
      <c r="R14" s="96"/>
      <c r="S14" s="151"/>
      <c r="T14" s="151"/>
      <c r="U14" s="151"/>
      <c r="V14" s="152"/>
      <c r="W14" s="125"/>
      <c r="X14" s="125"/>
      <c r="Y14" s="125"/>
      <c r="Z14" s="138"/>
      <c r="AA14" s="138"/>
      <c r="AB14" s="138"/>
      <c r="AC14" s="138"/>
      <c r="AD14" s="138"/>
      <c r="AE14" s="138"/>
      <c r="AF14" s="138"/>
      <c r="AG14" s="138"/>
      <c r="AH14" s="138"/>
      <c r="AI14" s="119" t="s">
        <v>213</v>
      </c>
    </row>
    <row r="15" spans="1:43" ht="24.65" customHeight="1" thickBot="1" x14ac:dyDescent="0.4">
      <c r="A15" s="121">
        <v>8</v>
      </c>
      <c r="B15" s="121" t="s">
        <v>45</v>
      </c>
      <c r="C15" s="121" t="s">
        <v>179</v>
      </c>
      <c r="D15" s="121">
        <v>25.6</v>
      </c>
      <c r="E15" s="130">
        <v>50</v>
      </c>
      <c r="F15" s="131">
        <f t="shared" si="0"/>
        <v>38.384615384615387</v>
      </c>
      <c r="G15" s="132">
        <f t="shared" si="1"/>
        <v>30.72</v>
      </c>
      <c r="H15" s="133">
        <f t="shared" si="3"/>
        <v>11.515384615384615</v>
      </c>
      <c r="I15" s="130">
        <v>6</v>
      </c>
      <c r="J15" s="132">
        <f t="shared" si="4"/>
        <v>48.235384615384618</v>
      </c>
      <c r="K15" s="132">
        <f t="shared" si="5"/>
        <v>96.470769230769235</v>
      </c>
      <c r="L15" s="136">
        <v>30</v>
      </c>
      <c r="M15" s="169">
        <f t="shared" si="6"/>
        <v>3.2156923076923078</v>
      </c>
      <c r="N15" s="136">
        <f>(4.5*60/L15)*2+(9.5*60/90)*2</f>
        <v>30.666666666666664</v>
      </c>
      <c r="O15" s="149">
        <v>3</v>
      </c>
      <c r="P15" s="150"/>
      <c r="Q15" s="150"/>
      <c r="R15" s="96"/>
      <c r="S15" s="151"/>
      <c r="T15" s="151"/>
      <c r="U15" s="151"/>
      <c r="V15" s="170"/>
      <c r="W15" s="125"/>
      <c r="X15" s="125"/>
      <c r="Y15" s="125"/>
      <c r="Z15" s="138"/>
      <c r="AA15" s="138"/>
      <c r="AB15" s="138"/>
      <c r="AC15" s="138"/>
      <c r="AD15" s="138"/>
      <c r="AE15" s="138"/>
      <c r="AF15" s="138"/>
      <c r="AG15" s="138"/>
      <c r="AH15" s="138"/>
      <c r="AI15" s="119">
        <v>45</v>
      </c>
    </row>
    <row r="16" spans="1:43" ht="24.65" customHeight="1" x14ac:dyDescent="0.35">
      <c r="A16" s="121">
        <v>9</v>
      </c>
      <c r="B16" s="171" t="s">
        <v>47</v>
      </c>
      <c r="C16" s="172" t="s">
        <v>70</v>
      </c>
      <c r="D16" s="171">
        <v>45</v>
      </c>
      <c r="E16" s="172">
        <v>55</v>
      </c>
      <c r="F16" s="173">
        <f>D16/1.2-1</f>
        <v>36.5</v>
      </c>
      <c r="G16" s="174">
        <f t="shared" si="1"/>
        <v>49.090909090909093</v>
      </c>
      <c r="H16" s="175">
        <f t="shared" si="3"/>
        <v>10.95</v>
      </c>
      <c r="I16" s="172">
        <v>6</v>
      </c>
      <c r="J16" s="174">
        <f t="shared" si="4"/>
        <v>66.040909090909096</v>
      </c>
      <c r="K16" s="174">
        <f t="shared" si="5"/>
        <v>132.08181818181819</v>
      </c>
      <c r="L16" s="176">
        <v>60</v>
      </c>
      <c r="M16" s="177">
        <f t="shared" si="6"/>
        <v>2.2013636363636366</v>
      </c>
      <c r="N16" s="176">
        <f>(4*60/L16)*2+(8*60/120)*2</f>
        <v>16</v>
      </c>
      <c r="O16" s="149">
        <v>2</v>
      </c>
      <c r="P16" s="150"/>
      <c r="Q16" s="150"/>
      <c r="R16" s="96"/>
      <c r="S16" s="151"/>
      <c r="T16" s="151"/>
      <c r="U16" s="178"/>
      <c r="V16" s="152"/>
      <c r="W16" s="125"/>
      <c r="X16" s="125"/>
      <c r="Y16" s="125"/>
      <c r="Z16" s="138"/>
      <c r="AA16" s="138"/>
      <c r="AB16" s="138"/>
      <c r="AC16" s="138"/>
      <c r="AD16" s="138"/>
      <c r="AE16" s="138"/>
      <c r="AF16" s="138"/>
      <c r="AG16" s="138"/>
      <c r="AH16" s="138"/>
      <c r="AI16" s="138"/>
    </row>
    <row r="17" spans="1:43" ht="24.65" customHeight="1" x14ac:dyDescent="0.35">
      <c r="A17" s="121">
        <v>10</v>
      </c>
      <c r="B17" s="171" t="s">
        <v>48</v>
      </c>
      <c r="C17" s="171" t="s">
        <v>49</v>
      </c>
      <c r="D17" s="171">
        <v>68</v>
      </c>
      <c r="E17" s="172">
        <v>55</v>
      </c>
      <c r="F17" s="173">
        <f>D17/1.2-1</f>
        <v>55.666666666666671</v>
      </c>
      <c r="G17" s="174">
        <f t="shared" si="1"/>
        <v>74.181818181818187</v>
      </c>
      <c r="H17" s="175">
        <f t="shared" si="3"/>
        <v>16.7</v>
      </c>
      <c r="I17" s="172">
        <v>6</v>
      </c>
      <c r="J17" s="174">
        <f t="shared" si="4"/>
        <v>96.88181818181819</v>
      </c>
      <c r="K17" s="174">
        <f t="shared" si="5"/>
        <v>193.76363636363638</v>
      </c>
      <c r="L17" s="176">
        <v>60</v>
      </c>
      <c r="M17" s="177">
        <f t="shared" si="6"/>
        <v>3.2293939393939395</v>
      </c>
      <c r="N17" s="176">
        <f>(4*60/L17)*2+(8*60/120)*2</f>
        <v>16</v>
      </c>
      <c r="O17" s="149">
        <v>3</v>
      </c>
      <c r="P17" s="150"/>
      <c r="Q17" s="150"/>
      <c r="R17" s="96"/>
      <c r="S17" s="151"/>
      <c r="T17" s="151"/>
      <c r="U17" s="151"/>
      <c r="V17" s="152"/>
      <c r="W17" s="125"/>
      <c r="X17" s="125"/>
      <c r="Y17" s="125"/>
      <c r="Z17" s="138"/>
      <c r="AA17" s="138"/>
      <c r="AB17" s="138"/>
      <c r="AC17" s="138"/>
      <c r="AD17" s="138"/>
      <c r="AE17" s="138"/>
      <c r="AF17" s="138"/>
      <c r="AG17" s="138"/>
      <c r="AH17" s="138"/>
      <c r="AI17" s="138"/>
    </row>
    <row r="18" spans="1:43" ht="24.65" customHeight="1" x14ac:dyDescent="0.35">
      <c r="A18" s="121">
        <v>11</v>
      </c>
      <c r="B18" s="171" t="s">
        <v>50</v>
      </c>
      <c r="C18" s="171" t="s">
        <v>71</v>
      </c>
      <c r="D18" s="171">
        <v>69</v>
      </c>
      <c r="E18" s="172">
        <v>55</v>
      </c>
      <c r="F18" s="173">
        <f>D18/1.2-1</f>
        <v>56.5</v>
      </c>
      <c r="G18" s="174">
        <f t="shared" si="1"/>
        <v>75.272727272727266</v>
      </c>
      <c r="H18" s="175">
        <f t="shared" si="3"/>
        <v>16.95</v>
      </c>
      <c r="I18" s="172">
        <v>6</v>
      </c>
      <c r="J18" s="174">
        <f t="shared" si="4"/>
        <v>98.222727272727269</v>
      </c>
      <c r="K18" s="174">
        <f t="shared" si="5"/>
        <v>196.44545454545454</v>
      </c>
      <c r="L18" s="176">
        <v>60</v>
      </c>
      <c r="M18" s="177">
        <f t="shared" si="6"/>
        <v>3.2740909090909089</v>
      </c>
      <c r="N18" s="176">
        <f>(4*60/L18)*2+(8*60/120)*2</f>
        <v>16</v>
      </c>
      <c r="O18" s="149">
        <v>3</v>
      </c>
      <c r="P18" s="150"/>
      <c r="Q18" s="150"/>
      <c r="R18" s="96"/>
      <c r="S18" s="151"/>
      <c r="T18" s="151"/>
      <c r="U18" s="151"/>
      <c r="V18" s="152"/>
      <c r="W18" s="125"/>
      <c r="X18" s="125"/>
      <c r="Y18" s="125"/>
      <c r="Z18" s="138"/>
      <c r="AA18" s="138"/>
      <c r="AB18" s="138"/>
      <c r="AC18" s="138"/>
      <c r="AD18" s="138"/>
      <c r="AE18" s="138"/>
      <c r="AF18" s="138"/>
      <c r="AG18" s="138"/>
      <c r="AH18" s="138"/>
      <c r="AI18" s="138"/>
    </row>
    <row r="19" spans="1:43" s="102" customFormat="1" ht="24.65" customHeight="1" x14ac:dyDescent="0.35">
      <c r="A19" s="121">
        <v>12</v>
      </c>
      <c r="B19" s="171" t="s">
        <v>53</v>
      </c>
      <c r="C19" s="171" t="s">
        <v>54</v>
      </c>
      <c r="D19" s="171">
        <v>67</v>
      </c>
      <c r="E19" s="172">
        <v>55</v>
      </c>
      <c r="F19" s="173">
        <f>D19/1.2</f>
        <v>55.833333333333336</v>
      </c>
      <c r="G19" s="174">
        <f t="shared" si="1"/>
        <v>73.090909090909093</v>
      </c>
      <c r="H19" s="175">
        <f>F19*0.3</f>
        <v>16.75</v>
      </c>
      <c r="I19" s="172">
        <v>5</v>
      </c>
      <c r="J19" s="174">
        <f>G19+H19+I19</f>
        <v>94.840909090909093</v>
      </c>
      <c r="K19" s="174">
        <f>J19*2</f>
        <v>189.68181818181819</v>
      </c>
      <c r="L19" s="176">
        <v>60</v>
      </c>
      <c r="M19" s="177">
        <f t="shared" si="6"/>
        <v>3.1613636363636366</v>
      </c>
      <c r="N19" s="176">
        <f>(4*60/L19)*2+(8*60/120)*2</f>
        <v>16</v>
      </c>
      <c r="O19" s="149">
        <v>3</v>
      </c>
      <c r="P19" s="150"/>
      <c r="Q19" s="150"/>
      <c r="R19" s="96"/>
      <c r="S19" s="151"/>
      <c r="T19" s="151"/>
      <c r="U19" s="151"/>
      <c r="V19" s="170"/>
      <c r="W19" s="125"/>
      <c r="X19" s="125"/>
      <c r="Y19" s="125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N19" s="103"/>
      <c r="AO19" s="103"/>
      <c r="AP19" s="103"/>
      <c r="AQ19" s="103"/>
    </row>
    <row r="20" spans="1:43" s="102" customFormat="1" ht="24.65" customHeight="1" x14ac:dyDescent="0.35">
      <c r="A20" s="121">
        <v>13</v>
      </c>
      <c r="B20" s="171" t="s">
        <v>55</v>
      </c>
      <c r="C20" s="171" t="s">
        <v>56</v>
      </c>
      <c r="D20" s="171">
        <v>60</v>
      </c>
      <c r="E20" s="172">
        <v>55</v>
      </c>
      <c r="F20" s="173">
        <f>D20/1.2</f>
        <v>50</v>
      </c>
      <c r="G20" s="174">
        <f t="shared" si="1"/>
        <v>65.454545454545453</v>
      </c>
      <c r="H20" s="175">
        <f>F20*0.3</f>
        <v>15</v>
      </c>
      <c r="I20" s="172">
        <v>10</v>
      </c>
      <c r="J20" s="174">
        <f>G20+H20+I20</f>
        <v>90.454545454545453</v>
      </c>
      <c r="K20" s="174">
        <f>J20*2</f>
        <v>180.90909090909091</v>
      </c>
      <c r="L20" s="176">
        <v>60</v>
      </c>
      <c r="M20" s="177">
        <f t="shared" si="6"/>
        <v>3.0151515151515151</v>
      </c>
      <c r="N20" s="176">
        <f>(4*60/L20)*2+(8*60/120)*2</f>
        <v>16</v>
      </c>
      <c r="O20" s="149">
        <v>3</v>
      </c>
      <c r="P20" s="150"/>
      <c r="Q20" s="150"/>
      <c r="R20" s="96"/>
      <c r="S20" s="151"/>
      <c r="T20" s="151"/>
      <c r="U20" s="151"/>
      <c r="V20" s="170"/>
      <c r="W20" s="125"/>
      <c r="X20" s="125"/>
      <c r="Y20" s="125"/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N20" s="103"/>
      <c r="AO20" s="103"/>
      <c r="AP20" s="103"/>
      <c r="AQ20" s="103"/>
    </row>
    <row r="21" spans="1:43" s="102" customFormat="1" ht="24.65" customHeight="1" x14ac:dyDescent="0.35">
      <c r="A21" s="120">
        <v>1.2</v>
      </c>
      <c r="B21" s="419" t="s">
        <v>214</v>
      </c>
      <c r="C21" s="419"/>
      <c r="D21" s="179">
        <f>SUM(D8:D20)</f>
        <v>533.79999999999995</v>
      </c>
      <c r="E21" s="179"/>
      <c r="F21" s="179">
        <f>SUM(F8:F20)</f>
        <v>592.34615384615381</v>
      </c>
      <c r="G21" s="179"/>
      <c r="H21" s="179"/>
      <c r="I21" s="179"/>
      <c r="J21" s="180"/>
      <c r="K21" s="179"/>
      <c r="L21" s="179"/>
      <c r="M21" s="179">
        <f t="shared" ref="M21:O21" si="7">SUM(M8:M20)</f>
        <v>40.036629370629377</v>
      </c>
      <c r="N21" s="179">
        <f t="shared" si="7"/>
        <v>327.16666666666663</v>
      </c>
      <c r="O21" s="179">
        <f t="shared" si="7"/>
        <v>40</v>
      </c>
      <c r="P21" s="181"/>
      <c r="Q21" s="181"/>
      <c r="R21" s="182">
        <f>O21+O33+O37+O44</f>
        <v>91</v>
      </c>
      <c r="S21" s="123">
        <f>R21*1.1</f>
        <v>100.10000000000001</v>
      </c>
      <c r="T21" s="420"/>
      <c r="U21" s="420"/>
      <c r="V21" s="170"/>
      <c r="W21" s="125"/>
      <c r="X21" s="125"/>
      <c r="Y21" s="125"/>
      <c r="Z21" s="138"/>
      <c r="AA21" s="138"/>
      <c r="AB21" s="138"/>
      <c r="AC21" s="138"/>
      <c r="AD21" s="138"/>
      <c r="AE21" s="138"/>
      <c r="AF21" s="138"/>
      <c r="AG21" s="138"/>
      <c r="AH21" s="138"/>
      <c r="AI21" s="138"/>
      <c r="AN21" s="103"/>
      <c r="AO21" s="103"/>
      <c r="AP21" s="103"/>
      <c r="AQ21" s="103"/>
    </row>
    <row r="22" spans="1:43" s="102" customFormat="1" ht="47.15" customHeight="1" x14ac:dyDescent="0.35">
      <c r="A22" s="121">
        <v>1</v>
      </c>
      <c r="B22" s="121" t="s">
        <v>78</v>
      </c>
      <c r="C22" s="121" t="s">
        <v>215</v>
      </c>
      <c r="D22" s="121">
        <v>78</v>
      </c>
      <c r="E22" s="130">
        <v>55</v>
      </c>
      <c r="F22" s="131">
        <f t="shared" ref="F22:F31" si="8">D22/1.2-1</f>
        <v>64</v>
      </c>
      <c r="G22" s="132">
        <f t="shared" ref="G22:G32" si="9">D22*60/E22</f>
        <v>85.090909090909093</v>
      </c>
      <c r="H22" s="133">
        <f t="shared" si="3"/>
        <v>19.2</v>
      </c>
      <c r="I22" s="130">
        <v>6</v>
      </c>
      <c r="J22" s="132">
        <f t="shared" ref="J22:J29" si="10">G22+H22+I22</f>
        <v>110.2909090909091</v>
      </c>
      <c r="K22" s="132">
        <f t="shared" ref="K22:K29" si="11">J22*2</f>
        <v>220.58181818181819</v>
      </c>
      <c r="L22" s="153">
        <v>40</v>
      </c>
      <c r="M22" s="154">
        <f>K22/L22</f>
        <v>5.5145454545454546</v>
      </c>
      <c r="N22" s="153">
        <f>(3*60/L22)*2+(11*60/60)*2</f>
        <v>31</v>
      </c>
      <c r="O22" s="149">
        <v>6</v>
      </c>
      <c r="P22" s="150"/>
      <c r="Q22" s="150"/>
      <c r="R22" s="96"/>
      <c r="S22" s="151"/>
      <c r="T22" s="151"/>
      <c r="U22" s="151"/>
      <c r="V22" s="152"/>
      <c r="W22" s="125"/>
      <c r="X22" s="139"/>
      <c r="Y22" s="139"/>
      <c r="Z22" s="138"/>
      <c r="AA22" s="138"/>
      <c r="AB22" s="138"/>
      <c r="AC22" s="138"/>
      <c r="AD22" s="138"/>
      <c r="AE22" s="138"/>
      <c r="AF22" s="138"/>
      <c r="AG22" s="138"/>
      <c r="AH22" s="138"/>
      <c r="AI22" s="138"/>
      <c r="AN22" s="103"/>
      <c r="AO22" s="103"/>
      <c r="AP22" s="103"/>
      <c r="AQ22" s="103"/>
    </row>
    <row r="23" spans="1:43" s="102" customFormat="1" ht="24.65" customHeight="1" x14ac:dyDescent="0.35">
      <c r="A23" s="121">
        <v>2</v>
      </c>
      <c r="B23" s="121" t="s">
        <v>80</v>
      </c>
      <c r="C23" s="121" t="s">
        <v>215</v>
      </c>
      <c r="D23" s="121">
        <v>64.5</v>
      </c>
      <c r="E23" s="130">
        <v>55</v>
      </c>
      <c r="F23" s="131">
        <f t="shared" si="8"/>
        <v>52.75</v>
      </c>
      <c r="G23" s="132">
        <f t="shared" si="9"/>
        <v>70.36363636363636</v>
      </c>
      <c r="H23" s="133">
        <f t="shared" si="3"/>
        <v>15.824999999999999</v>
      </c>
      <c r="I23" s="130">
        <v>6</v>
      </c>
      <c r="J23" s="132">
        <f t="shared" si="10"/>
        <v>92.188636363636363</v>
      </c>
      <c r="K23" s="132">
        <f t="shared" si="11"/>
        <v>184.37727272727273</v>
      </c>
      <c r="L23" s="153">
        <v>40</v>
      </c>
      <c r="M23" s="154">
        <f t="shared" ref="M23:M29" si="12">K23/L23</f>
        <v>4.6094318181818181</v>
      </c>
      <c r="N23" s="153">
        <f>(3*60/L23)*2+(11*60/60)*2</f>
        <v>31</v>
      </c>
      <c r="O23" s="149">
        <v>5</v>
      </c>
      <c r="P23" s="150"/>
      <c r="Q23" s="150"/>
      <c r="R23" s="96"/>
      <c r="S23" s="151"/>
      <c r="T23" s="151"/>
      <c r="U23" s="151"/>
      <c r="V23" s="170"/>
      <c r="W23" s="125"/>
      <c r="X23" s="139"/>
      <c r="Y23" s="139"/>
      <c r="Z23" s="138"/>
      <c r="AA23" s="138"/>
      <c r="AB23" s="138"/>
      <c r="AC23" s="138"/>
      <c r="AD23" s="138"/>
      <c r="AE23" s="138"/>
      <c r="AF23" s="138"/>
      <c r="AG23" s="138"/>
      <c r="AH23" s="138"/>
      <c r="AI23" s="138"/>
      <c r="AN23" s="103"/>
      <c r="AO23" s="103"/>
      <c r="AP23" s="103"/>
      <c r="AQ23" s="103"/>
    </row>
    <row r="24" spans="1:43" s="102" customFormat="1" ht="24.65" customHeight="1" x14ac:dyDescent="0.35">
      <c r="A24" s="121">
        <v>3</v>
      </c>
      <c r="B24" s="121" t="s">
        <v>81</v>
      </c>
      <c r="C24" s="121" t="s">
        <v>181</v>
      </c>
      <c r="D24" s="121">
        <v>40</v>
      </c>
      <c r="E24" s="130">
        <v>55</v>
      </c>
      <c r="F24" s="131">
        <f t="shared" si="8"/>
        <v>32.333333333333336</v>
      </c>
      <c r="G24" s="132">
        <f t="shared" si="9"/>
        <v>43.636363636363633</v>
      </c>
      <c r="H24" s="133">
        <f t="shared" si="3"/>
        <v>9.7000000000000011</v>
      </c>
      <c r="I24" s="130">
        <v>6</v>
      </c>
      <c r="J24" s="132">
        <f t="shared" si="10"/>
        <v>59.336363636363636</v>
      </c>
      <c r="K24" s="132">
        <f t="shared" si="11"/>
        <v>118.67272727272727</v>
      </c>
      <c r="L24" s="167">
        <v>60</v>
      </c>
      <c r="M24" s="168">
        <f t="shared" si="12"/>
        <v>1.9778787878787878</v>
      </c>
      <c r="N24" s="167">
        <f>(3*60/L24)*2+(11*60/120)*2</f>
        <v>17</v>
      </c>
      <c r="O24" s="149">
        <v>2</v>
      </c>
      <c r="P24" s="150"/>
      <c r="Q24" s="150"/>
      <c r="R24" s="96"/>
      <c r="S24" s="151"/>
      <c r="T24" s="151"/>
      <c r="U24" s="151"/>
      <c r="V24" s="170"/>
      <c r="W24" s="125"/>
      <c r="X24" s="139"/>
      <c r="Y24" s="139"/>
      <c r="Z24" s="138"/>
      <c r="AA24" s="138"/>
      <c r="AB24" s="138"/>
      <c r="AC24" s="138"/>
      <c r="AD24" s="138"/>
      <c r="AE24" s="138"/>
      <c r="AF24" s="138"/>
      <c r="AG24" s="138"/>
      <c r="AH24" s="138"/>
      <c r="AI24" s="138"/>
      <c r="AN24" s="103"/>
      <c r="AO24" s="103"/>
      <c r="AP24" s="103"/>
      <c r="AQ24" s="103"/>
    </row>
    <row r="25" spans="1:43" s="102" customFormat="1" ht="24.65" customHeight="1" x14ac:dyDescent="0.35">
      <c r="A25" s="121">
        <v>4</v>
      </c>
      <c r="B25" s="121" t="s">
        <v>82</v>
      </c>
      <c r="C25" s="121" t="s">
        <v>182</v>
      </c>
      <c r="D25" s="121">
        <v>50</v>
      </c>
      <c r="E25" s="130">
        <v>55</v>
      </c>
      <c r="F25" s="131">
        <f t="shared" si="8"/>
        <v>40.666666666666671</v>
      </c>
      <c r="G25" s="132">
        <f t="shared" si="9"/>
        <v>54.545454545454547</v>
      </c>
      <c r="H25" s="133">
        <f t="shared" si="3"/>
        <v>12.200000000000001</v>
      </c>
      <c r="I25" s="130">
        <v>6</v>
      </c>
      <c r="J25" s="132">
        <f t="shared" si="10"/>
        <v>72.74545454545455</v>
      </c>
      <c r="K25" s="132">
        <f t="shared" si="11"/>
        <v>145.4909090909091</v>
      </c>
      <c r="L25" s="153">
        <v>40</v>
      </c>
      <c r="M25" s="154">
        <f t="shared" si="12"/>
        <v>3.6372727272727277</v>
      </c>
      <c r="N25" s="153">
        <f>(3*60/L25)*2+(11*60/60)*2</f>
        <v>31</v>
      </c>
      <c r="O25" s="149">
        <v>4</v>
      </c>
      <c r="P25" s="150"/>
      <c r="Q25" s="150"/>
      <c r="R25" s="96"/>
      <c r="S25" s="151"/>
      <c r="T25" s="151"/>
      <c r="U25" s="151"/>
      <c r="V25" s="152"/>
      <c r="W25" s="125"/>
      <c r="X25" s="139"/>
      <c r="Y25" s="139"/>
      <c r="Z25" s="138"/>
      <c r="AA25" s="138"/>
      <c r="AB25" s="138"/>
      <c r="AC25" s="138"/>
      <c r="AD25" s="138"/>
      <c r="AE25" s="138"/>
      <c r="AF25" s="138"/>
      <c r="AG25" s="138"/>
      <c r="AH25" s="138"/>
      <c r="AI25" s="138"/>
      <c r="AN25" s="103"/>
      <c r="AO25" s="103"/>
      <c r="AP25" s="103"/>
      <c r="AQ25" s="103"/>
    </row>
    <row r="26" spans="1:43" s="102" customFormat="1" ht="24.65" customHeight="1" x14ac:dyDescent="0.35">
      <c r="A26" s="121">
        <v>5</v>
      </c>
      <c r="B26" s="121" t="s">
        <v>83</v>
      </c>
      <c r="C26" s="121" t="s">
        <v>183</v>
      </c>
      <c r="D26" s="121">
        <v>78</v>
      </c>
      <c r="E26" s="130">
        <v>55</v>
      </c>
      <c r="F26" s="131">
        <f t="shared" si="8"/>
        <v>64</v>
      </c>
      <c r="G26" s="132">
        <f t="shared" si="9"/>
        <v>85.090909090909093</v>
      </c>
      <c r="H26" s="133">
        <f t="shared" si="3"/>
        <v>19.2</v>
      </c>
      <c r="I26" s="130">
        <v>6</v>
      </c>
      <c r="J26" s="132">
        <f t="shared" si="10"/>
        <v>110.2909090909091</v>
      </c>
      <c r="K26" s="132">
        <f t="shared" si="11"/>
        <v>220.58181818181819</v>
      </c>
      <c r="L26" s="167">
        <v>60</v>
      </c>
      <c r="M26" s="168">
        <f t="shared" si="12"/>
        <v>3.6763636363636367</v>
      </c>
      <c r="N26" s="167">
        <f>(3*60/L26)*2+(11*60/120)*2</f>
        <v>17</v>
      </c>
      <c r="O26" s="149">
        <v>4</v>
      </c>
      <c r="P26" s="150"/>
      <c r="Q26" s="150"/>
      <c r="R26" s="96"/>
      <c r="S26" s="151"/>
      <c r="T26" s="151"/>
      <c r="U26" s="151"/>
      <c r="V26" s="170"/>
      <c r="W26" s="125"/>
      <c r="X26" s="139"/>
      <c r="Y26" s="139"/>
      <c r="Z26" s="138"/>
      <c r="AA26" s="138"/>
      <c r="AB26" s="138"/>
      <c r="AC26" s="138"/>
      <c r="AD26" s="138"/>
      <c r="AE26" s="138"/>
      <c r="AF26" s="138"/>
      <c r="AG26" s="138"/>
      <c r="AH26" s="138"/>
      <c r="AI26" s="138"/>
      <c r="AN26" s="103"/>
      <c r="AO26" s="103"/>
      <c r="AP26" s="103"/>
      <c r="AQ26" s="103"/>
    </row>
    <row r="27" spans="1:43" s="102" customFormat="1" ht="24.65" customHeight="1" x14ac:dyDescent="0.35">
      <c r="A27" s="121">
        <v>6</v>
      </c>
      <c r="B27" s="121" t="s">
        <v>93</v>
      </c>
      <c r="C27" s="121" t="s">
        <v>94</v>
      </c>
      <c r="D27" s="121">
        <v>36.5</v>
      </c>
      <c r="E27" s="130">
        <v>55</v>
      </c>
      <c r="F27" s="131">
        <f t="shared" si="8"/>
        <v>29.416666666666668</v>
      </c>
      <c r="G27" s="132">
        <f t="shared" si="9"/>
        <v>39.81818181818182</v>
      </c>
      <c r="H27" s="133">
        <f>F27*0.3</f>
        <v>8.8249999999999993</v>
      </c>
      <c r="I27" s="130">
        <v>6</v>
      </c>
      <c r="J27" s="132">
        <f>G27+H27+I27</f>
        <v>54.643181818181816</v>
      </c>
      <c r="K27" s="132">
        <f>J27*2</f>
        <v>109.28636363636363</v>
      </c>
      <c r="L27" s="167">
        <v>60</v>
      </c>
      <c r="M27" s="168">
        <f>K27/L27</f>
        <v>1.8214393939393938</v>
      </c>
      <c r="N27" s="167">
        <f>(3*60/L27)*2+(11*60/120)*2</f>
        <v>17</v>
      </c>
      <c r="O27" s="183">
        <v>2</v>
      </c>
      <c r="P27" s="184"/>
      <c r="Q27" s="184"/>
      <c r="R27" s="96"/>
      <c r="S27" s="151"/>
      <c r="T27" s="151"/>
      <c r="U27" s="151"/>
      <c r="V27" s="170"/>
      <c r="W27" s="125"/>
      <c r="X27" s="139"/>
      <c r="Y27" s="139"/>
      <c r="Z27" s="138"/>
      <c r="AA27" s="138"/>
      <c r="AB27" s="139"/>
      <c r="AC27" s="138"/>
      <c r="AD27" s="138"/>
      <c r="AE27" s="138"/>
      <c r="AF27" s="138"/>
      <c r="AG27" s="138"/>
      <c r="AH27" s="138"/>
      <c r="AI27" s="138"/>
      <c r="AN27" s="103"/>
      <c r="AO27" s="103"/>
      <c r="AP27" s="103"/>
      <c r="AQ27" s="103"/>
    </row>
    <row r="28" spans="1:43" s="102" customFormat="1" ht="24.65" customHeight="1" x14ac:dyDescent="0.35">
      <c r="A28" s="121">
        <v>7</v>
      </c>
      <c r="B28" s="121" t="s">
        <v>84</v>
      </c>
      <c r="C28" s="121" t="s">
        <v>184</v>
      </c>
      <c r="D28" s="121">
        <v>35</v>
      </c>
      <c r="E28" s="130">
        <v>55</v>
      </c>
      <c r="F28" s="131">
        <f t="shared" si="8"/>
        <v>28.166666666666668</v>
      </c>
      <c r="G28" s="132">
        <f t="shared" si="9"/>
        <v>38.18181818181818</v>
      </c>
      <c r="H28" s="133">
        <f t="shared" si="3"/>
        <v>8.4499999999999993</v>
      </c>
      <c r="I28" s="130">
        <v>6</v>
      </c>
      <c r="J28" s="132">
        <f t="shared" si="10"/>
        <v>52.631818181818176</v>
      </c>
      <c r="K28" s="132">
        <f t="shared" si="11"/>
        <v>105.26363636363635</v>
      </c>
      <c r="L28" s="167">
        <v>60</v>
      </c>
      <c r="M28" s="168">
        <f t="shared" si="12"/>
        <v>1.7543939393939392</v>
      </c>
      <c r="N28" s="167">
        <f>(3*60/L28)*2+(11*60/120)*2</f>
        <v>17</v>
      </c>
      <c r="O28" s="149">
        <v>2</v>
      </c>
      <c r="P28" s="150"/>
      <c r="Q28" s="150"/>
      <c r="R28" s="96"/>
      <c r="S28" s="151"/>
      <c r="T28" s="151"/>
      <c r="U28" s="151"/>
      <c r="V28" s="170"/>
      <c r="W28" s="125"/>
      <c r="X28" s="139"/>
      <c r="Y28" s="139"/>
      <c r="Z28" s="138"/>
      <c r="AA28" s="138"/>
      <c r="AB28" s="138"/>
      <c r="AC28" s="138"/>
      <c r="AD28" s="138"/>
      <c r="AE28" s="138"/>
      <c r="AF28" s="138"/>
      <c r="AG28" s="138"/>
      <c r="AH28" s="138"/>
      <c r="AI28" s="138"/>
      <c r="AN28" s="103"/>
      <c r="AO28" s="103"/>
      <c r="AP28" s="103"/>
      <c r="AQ28" s="103"/>
    </row>
    <row r="29" spans="1:43" s="102" customFormat="1" ht="24.65" customHeight="1" x14ac:dyDescent="0.35">
      <c r="A29" s="121">
        <v>8</v>
      </c>
      <c r="B29" s="121" t="s">
        <v>185</v>
      </c>
      <c r="C29" s="121" t="s">
        <v>186</v>
      </c>
      <c r="D29" s="121">
        <v>40</v>
      </c>
      <c r="E29" s="130">
        <v>55</v>
      </c>
      <c r="F29" s="131">
        <f t="shared" si="8"/>
        <v>32.333333333333336</v>
      </c>
      <c r="G29" s="132">
        <f t="shared" si="9"/>
        <v>43.636363636363633</v>
      </c>
      <c r="H29" s="133">
        <f t="shared" si="3"/>
        <v>9.7000000000000011</v>
      </c>
      <c r="I29" s="130">
        <v>6</v>
      </c>
      <c r="J29" s="132">
        <f t="shared" si="10"/>
        <v>59.336363636363636</v>
      </c>
      <c r="K29" s="132">
        <f t="shared" si="11"/>
        <v>118.67272727272727</v>
      </c>
      <c r="L29" s="167">
        <v>60</v>
      </c>
      <c r="M29" s="177">
        <f t="shared" si="12"/>
        <v>1.9778787878787878</v>
      </c>
      <c r="N29" s="176">
        <f>(4*60/L29)*2+(8*60/120)*2</f>
        <v>16</v>
      </c>
      <c r="O29" s="149">
        <v>2</v>
      </c>
      <c r="P29" s="150"/>
      <c r="Q29" s="150"/>
      <c r="R29" s="96"/>
      <c r="S29" s="151"/>
      <c r="T29" s="151"/>
      <c r="U29" s="151"/>
      <c r="V29" s="170"/>
      <c r="W29" s="125"/>
      <c r="X29" s="139"/>
      <c r="Y29" s="139"/>
      <c r="Z29" s="138"/>
      <c r="AA29" s="138"/>
      <c r="AB29" s="138"/>
      <c r="AC29" s="138"/>
      <c r="AD29" s="138"/>
      <c r="AE29" s="138"/>
      <c r="AF29" s="138"/>
      <c r="AG29" s="138"/>
      <c r="AH29" s="138"/>
      <c r="AI29" s="138"/>
      <c r="AN29" s="103"/>
      <c r="AO29" s="103"/>
      <c r="AP29" s="103"/>
      <c r="AQ29" s="103"/>
    </row>
    <row r="30" spans="1:43" s="102" customFormat="1" ht="24.65" customHeight="1" x14ac:dyDescent="0.35">
      <c r="A30" s="121">
        <v>9</v>
      </c>
      <c r="B30" s="121" t="s">
        <v>102</v>
      </c>
      <c r="C30" s="121" t="s">
        <v>103</v>
      </c>
      <c r="D30" s="121">
        <v>25</v>
      </c>
      <c r="E30" s="130">
        <v>55</v>
      </c>
      <c r="F30" s="131">
        <f t="shared" si="8"/>
        <v>19.833333333333336</v>
      </c>
      <c r="G30" s="132">
        <f t="shared" si="9"/>
        <v>27.272727272727273</v>
      </c>
      <c r="H30" s="133">
        <f>F30*0.3</f>
        <v>5.95</v>
      </c>
      <c r="I30" s="130">
        <v>6</v>
      </c>
      <c r="J30" s="132">
        <f>G30+H30+I30</f>
        <v>39.222727272727276</v>
      </c>
      <c r="K30" s="132">
        <f>J30*2</f>
        <v>78.445454545454552</v>
      </c>
      <c r="L30" s="153">
        <v>40</v>
      </c>
      <c r="M30" s="154">
        <f>K30/L30</f>
        <v>1.9611363636363639</v>
      </c>
      <c r="N30" s="153">
        <f>(3*60/L30)*2+(11*60/60)*2</f>
        <v>31</v>
      </c>
      <c r="O30" s="183">
        <v>2</v>
      </c>
      <c r="P30" s="184"/>
      <c r="Q30" s="184"/>
      <c r="R30" s="96"/>
      <c r="S30" s="151"/>
      <c r="T30" s="185"/>
      <c r="U30" s="185"/>
      <c r="V30" s="186"/>
      <c r="W30" s="187"/>
      <c r="X30" s="187"/>
      <c r="Y30" s="139"/>
      <c r="Z30" s="138"/>
      <c r="AA30" s="138"/>
      <c r="AB30" s="139"/>
      <c r="AC30" s="138"/>
      <c r="AD30" s="138"/>
      <c r="AE30" s="138"/>
      <c r="AF30" s="138"/>
      <c r="AG30" s="138"/>
      <c r="AH30" s="138"/>
      <c r="AI30" s="138"/>
      <c r="AN30" s="103"/>
      <c r="AO30" s="103"/>
      <c r="AP30" s="103"/>
      <c r="AQ30" s="103"/>
    </row>
    <row r="31" spans="1:43" s="102" customFormat="1" ht="24.65" customHeight="1" x14ac:dyDescent="0.35">
      <c r="A31" s="121">
        <v>10</v>
      </c>
      <c r="B31" s="121" t="s">
        <v>104</v>
      </c>
      <c r="C31" s="121" t="s">
        <v>105</v>
      </c>
      <c r="D31" s="121">
        <v>30</v>
      </c>
      <c r="E31" s="130">
        <v>55</v>
      </c>
      <c r="F31" s="131">
        <f t="shared" si="8"/>
        <v>24</v>
      </c>
      <c r="G31" s="132">
        <f t="shared" si="9"/>
        <v>32.727272727272727</v>
      </c>
      <c r="H31" s="133">
        <f>F31*0.3</f>
        <v>7.1999999999999993</v>
      </c>
      <c r="I31" s="130">
        <v>6</v>
      </c>
      <c r="J31" s="132">
        <f>G31+H31+I31</f>
        <v>45.927272727272722</v>
      </c>
      <c r="K31" s="132">
        <f>J31*2</f>
        <v>91.854545454545445</v>
      </c>
      <c r="L31" s="167">
        <v>60</v>
      </c>
      <c r="M31" s="168">
        <f t="shared" ref="M31:M32" si="13">K31/L31</f>
        <v>1.5309090909090908</v>
      </c>
      <c r="N31" s="167">
        <f>(3*60/L31)*2+(11*60/120)*2</f>
        <v>17</v>
      </c>
      <c r="O31" s="183">
        <v>2</v>
      </c>
      <c r="P31" s="184"/>
      <c r="Q31" s="184"/>
      <c r="R31" s="96"/>
      <c r="S31" s="151"/>
      <c r="T31" s="185"/>
      <c r="U31" s="185"/>
      <c r="V31" s="186"/>
      <c r="W31" s="187"/>
      <c r="X31" s="187"/>
      <c r="Y31" s="139"/>
      <c r="Z31" s="138"/>
      <c r="AA31" s="138"/>
      <c r="AB31" s="139"/>
      <c r="AC31" s="138"/>
      <c r="AD31" s="138"/>
      <c r="AE31" s="138"/>
      <c r="AF31" s="138"/>
      <c r="AG31" s="138"/>
      <c r="AH31" s="138"/>
      <c r="AI31" s="138"/>
      <c r="AN31" s="103"/>
      <c r="AO31" s="103"/>
      <c r="AP31" s="103"/>
      <c r="AQ31" s="103"/>
    </row>
    <row r="32" spans="1:43" s="102" customFormat="1" ht="24.65" customHeight="1" x14ac:dyDescent="0.35">
      <c r="A32" s="121">
        <v>11</v>
      </c>
      <c r="B32" s="121" t="s">
        <v>187</v>
      </c>
      <c r="C32" s="121" t="s">
        <v>188</v>
      </c>
      <c r="D32" s="121">
        <v>24</v>
      </c>
      <c r="E32" s="130">
        <v>55</v>
      </c>
      <c r="F32" s="131">
        <f>D32/1.5-1</f>
        <v>15</v>
      </c>
      <c r="G32" s="132">
        <f t="shared" si="9"/>
        <v>26.181818181818183</v>
      </c>
      <c r="H32" s="133">
        <f>F32*0.3</f>
        <v>4.5</v>
      </c>
      <c r="I32" s="130">
        <v>6</v>
      </c>
      <c r="J32" s="132">
        <f>G32+H32+I32</f>
        <v>36.681818181818187</v>
      </c>
      <c r="K32" s="132">
        <f>J32*2</f>
        <v>73.363636363636374</v>
      </c>
      <c r="L32" s="153">
        <v>40</v>
      </c>
      <c r="M32" s="168">
        <f t="shared" si="13"/>
        <v>1.8340909090909094</v>
      </c>
      <c r="N32" s="167">
        <f>(3*60/L32)*2+(3*60/120)*2</f>
        <v>12</v>
      </c>
      <c r="O32" s="183">
        <v>2</v>
      </c>
      <c r="P32" s="184"/>
      <c r="Q32" s="184"/>
      <c r="R32" s="96"/>
      <c r="S32" s="151"/>
      <c r="T32" s="185"/>
      <c r="U32" s="185"/>
      <c r="V32" s="186"/>
      <c r="W32" s="187"/>
      <c r="X32" s="187"/>
      <c r="Y32" s="139"/>
      <c r="Z32" s="138"/>
      <c r="AA32" s="138"/>
      <c r="AB32" s="139"/>
      <c r="AC32" s="138"/>
      <c r="AD32" s="138"/>
      <c r="AE32" s="138"/>
      <c r="AF32" s="138"/>
      <c r="AG32" s="138"/>
      <c r="AH32" s="138"/>
      <c r="AI32" s="138"/>
      <c r="AN32" s="103"/>
      <c r="AO32" s="103"/>
      <c r="AP32" s="103"/>
      <c r="AQ32" s="103"/>
    </row>
    <row r="33" spans="1:43" s="102" customFormat="1" ht="24.65" customHeight="1" x14ac:dyDescent="0.35">
      <c r="A33" s="121" t="s">
        <v>26</v>
      </c>
      <c r="B33" s="428" t="s">
        <v>216</v>
      </c>
      <c r="C33" s="428"/>
      <c r="D33" s="188">
        <f>SUM(D22:D32)</f>
        <v>501</v>
      </c>
      <c r="E33" s="156"/>
      <c r="F33" s="188">
        <f>SUM(F22:F32)</f>
        <v>402.5</v>
      </c>
      <c r="G33" s="180"/>
      <c r="H33" s="188"/>
      <c r="I33" s="189"/>
      <c r="J33" s="180"/>
      <c r="K33" s="180"/>
      <c r="L33" s="190"/>
      <c r="M33" s="188">
        <f>SUM(M22:M32)</f>
        <v>30.29534090909091</v>
      </c>
      <c r="N33" s="188">
        <f>SUM(N22:N32)</f>
        <v>237</v>
      </c>
      <c r="O33" s="188">
        <f>SUM(O22:O32)</f>
        <v>33</v>
      </c>
      <c r="P33" s="184"/>
      <c r="Q33" s="184"/>
      <c r="R33" s="96"/>
      <c r="S33" s="151"/>
      <c r="T33" s="185"/>
      <c r="U33" s="185"/>
      <c r="V33" s="186"/>
      <c r="W33" s="187"/>
      <c r="X33" s="187"/>
      <c r="Y33" s="139"/>
      <c r="Z33" s="138"/>
      <c r="AA33" s="138"/>
      <c r="AB33" s="139"/>
      <c r="AC33" s="138"/>
      <c r="AD33" s="138"/>
      <c r="AE33" s="138"/>
      <c r="AF33" s="138"/>
      <c r="AG33" s="138"/>
      <c r="AH33" s="138"/>
      <c r="AI33" s="138"/>
      <c r="AN33" s="103"/>
      <c r="AO33" s="103"/>
      <c r="AP33" s="103"/>
      <c r="AQ33" s="103"/>
    </row>
    <row r="34" spans="1:43" s="102" customFormat="1" ht="24.65" customHeight="1" x14ac:dyDescent="0.35">
      <c r="A34" s="120">
        <v>2.1</v>
      </c>
      <c r="B34" s="419" t="s">
        <v>76</v>
      </c>
      <c r="C34" s="419"/>
      <c r="D34" s="121"/>
      <c r="E34" s="130"/>
      <c r="F34" s="131"/>
      <c r="G34" s="132"/>
      <c r="H34" s="133"/>
      <c r="I34" s="130"/>
      <c r="J34" s="132"/>
      <c r="K34" s="132"/>
      <c r="L34" s="135"/>
      <c r="M34" s="191"/>
      <c r="N34" s="136"/>
      <c r="O34" s="183"/>
      <c r="P34" s="184"/>
      <c r="Q34" s="184"/>
      <c r="R34" s="96"/>
      <c r="S34" s="151"/>
      <c r="T34" s="185"/>
      <c r="U34" s="185"/>
      <c r="V34" s="186"/>
      <c r="W34" s="187"/>
      <c r="X34" s="187"/>
      <c r="Y34" s="139"/>
      <c r="Z34" s="138"/>
      <c r="AA34" s="138"/>
      <c r="AB34" s="139"/>
      <c r="AC34" s="138"/>
      <c r="AD34" s="138"/>
      <c r="AE34" s="138"/>
      <c r="AF34" s="138"/>
      <c r="AG34" s="138"/>
      <c r="AH34" s="138"/>
      <c r="AI34" s="138"/>
      <c r="AN34" s="103"/>
      <c r="AO34" s="103"/>
      <c r="AP34" s="103"/>
      <c r="AQ34" s="103"/>
    </row>
    <row r="35" spans="1:43" s="102" customFormat="1" ht="24.65" customHeight="1" x14ac:dyDescent="0.35">
      <c r="A35" s="192">
        <v>1</v>
      </c>
      <c r="B35" s="121" t="s">
        <v>52</v>
      </c>
      <c r="C35" s="121" t="s">
        <v>74</v>
      </c>
      <c r="D35" s="121">
        <v>41</v>
      </c>
      <c r="E35" s="130">
        <v>55</v>
      </c>
      <c r="F35" s="131">
        <f>D35/1.2</f>
        <v>34.166666666666671</v>
      </c>
      <c r="G35" s="132">
        <f>D35*60/E35</f>
        <v>44.727272727272727</v>
      </c>
      <c r="H35" s="133">
        <f t="shared" ref="H35:H36" si="14">F35*0.3</f>
        <v>10.250000000000002</v>
      </c>
      <c r="I35" s="130">
        <v>5</v>
      </c>
      <c r="J35" s="132">
        <f t="shared" ref="J35:J36" si="15">G35+H35+I35</f>
        <v>59.977272727272727</v>
      </c>
      <c r="K35" s="132">
        <f t="shared" ref="K35:K36" si="16">J35*2</f>
        <v>119.95454545454545</v>
      </c>
      <c r="L35" s="176">
        <v>60</v>
      </c>
      <c r="M35" s="177">
        <f t="shared" ref="M35:M36" si="17">K35/L35</f>
        <v>1.9992424242424243</v>
      </c>
      <c r="N35" s="176">
        <f>(4*60/L35)*2+(8*60/120)*2</f>
        <v>16</v>
      </c>
      <c r="O35" s="149">
        <v>2</v>
      </c>
      <c r="P35" s="150"/>
      <c r="Q35" s="150"/>
      <c r="R35" s="96"/>
      <c r="S35" s="151"/>
      <c r="T35" s="151"/>
      <c r="U35" s="151"/>
      <c r="V35" s="170"/>
      <c r="W35" s="125"/>
      <c r="X35" s="125"/>
      <c r="Y35" s="125"/>
      <c r="Z35" s="138"/>
      <c r="AA35" s="138"/>
      <c r="AB35" s="138"/>
      <c r="AC35" s="138"/>
      <c r="AD35" s="138"/>
      <c r="AE35" s="138"/>
      <c r="AF35" s="138"/>
      <c r="AG35" s="138"/>
      <c r="AH35" s="138"/>
      <c r="AI35" s="138"/>
      <c r="AN35" s="103"/>
      <c r="AO35" s="103"/>
      <c r="AP35" s="103"/>
      <c r="AQ35" s="103"/>
    </row>
    <row r="36" spans="1:43" s="102" customFormat="1" ht="24.65" customHeight="1" x14ac:dyDescent="0.35">
      <c r="A36" s="192">
        <v>2</v>
      </c>
      <c r="B36" s="121" t="s">
        <v>57</v>
      </c>
      <c r="C36" s="121" t="s">
        <v>58</v>
      </c>
      <c r="D36" s="121">
        <v>30</v>
      </c>
      <c r="E36" s="130">
        <v>55</v>
      </c>
      <c r="F36" s="131">
        <f>D36/1.2</f>
        <v>25</v>
      </c>
      <c r="G36" s="132">
        <f>D36*60/E36</f>
        <v>32.727272727272727</v>
      </c>
      <c r="H36" s="133">
        <f t="shared" si="14"/>
        <v>7.5</v>
      </c>
      <c r="I36" s="130">
        <v>10</v>
      </c>
      <c r="J36" s="132">
        <f t="shared" si="15"/>
        <v>50.227272727272727</v>
      </c>
      <c r="K36" s="132">
        <f t="shared" si="16"/>
        <v>100.45454545454545</v>
      </c>
      <c r="L36" s="176">
        <v>60</v>
      </c>
      <c r="M36" s="177">
        <f t="shared" si="17"/>
        <v>1.6742424242424243</v>
      </c>
      <c r="N36" s="176">
        <f>(4*60/L36)*2+(8*60/120)*2</f>
        <v>16</v>
      </c>
      <c r="O36" s="149">
        <v>2</v>
      </c>
      <c r="P36" s="150"/>
      <c r="Q36" s="150"/>
      <c r="R36" s="96"/>
      <c r="S36" s="151"/>
      <c r="T36" s="151"/>
      <c r="U36" s="151"/>
      <c r="V36" s="170"/>
      <c r="W36" s="125"/>
      <c r="X36" s="125"/>
      <c r="Y36" s="125"/>
      <c r="Z36" s="138"/>
      <c r="AA36" s="138"/>
      <c r="AB36" s="138"/>
      <c r="AC36" s="138"/>
      <c r="AD36" s="138"/>
      <c r="AE36" s="138"/>
      <c r="AF36" s="138"/>
      <c r="AG36" s="138"/>
      <c r="AH36" s="138"/>
      <c r="AI36" s="138"/>
      <c r="AN36" s="103"/>
      <c r="AO36" s="103"/>
      <c r="AP36" s="103"/>
      <c r="AQ36" s="103"/>
    </row>
    <row r="37" spans="1:43" s="102" customFormat="1" ht="24.65" customHeight="1" x14ac:dyDescent="0.35">
      <c r="A37" s="129">
        <v>2.2000000000000002</v>
      </c>
      <c r="B37" s="419" t="s">
        <v>217</v>
      </c>
      <c r="C37" s="419"/>
      <c r="D37" s="188">
        <f>SUM(D35:D36)</f>
        <v>71</v>
      </c>
      <c r="E37" s="189"/>
      <c r="F37" s="188">
        <f>SUM(F35:F36)</f>
        <v>59.166666666666671</v>
      </c>
      <c r="G37" s="180"/>
      <c r="H37" s="188"/>
      <c r="I37" s="189"/>
      <c r="J37" s="180"/>
      <c r="K37" s="180"/>
      <c r="L37" s="190"/>
      <c r="M37" s="188">
        <f t="shared" ref="M37:O37" si="18">SUM(M35:M36)</f>
        <v>3.6734848484848488</v>
      </c>
      <c r="N37" s="188">
        <f t="shared" si="18"/>
        <v>32</v>
      </c>
      <c r="O37" s="188">
        <f t="shared" si="18"/>
        <v>4</v>
      </c>
      <c r="P37" s="184"/>
      <c r="Q37" s="184"/>
      <c r="R37" s="96"/>
      <c r="S37" s="151"/>
      <c r="T37" s="185"/>
      <c r="U37" s="185"/>
      <c r="V37" s="186"/>
      <c r="W37" s="187"/>
      <c r="X37" s="187"/>
      <c r="Y37" s="139"/>
      <c r="Z37" s="138"/>
      <c r="AA37" s="138"/>
      <c r="AB37" s="139"/>
      <c r="AC37" s="138"/>
      <c r="AD37" s="138"/>
      <c r="AE37" s="138"/>
      <c r="AF37" s="138"/>
      <c r="AG37" s="138"/>
      <c r="AH37" s="138"/>
      <c r="AI37" s="138"/>
      <c r="AN37" s="103"/>
      <c r="AO37" s="103"/>
      <c r="AP37" s="103"/>
      <c r="AQ37" s="103"/>
    </row>
    <row r="38" spans="1:43" s="102" customFormat="1" ht="24.65" customHeight="1" x14ac:dyDescent="0.35">
      <c r="A38" s="121">
        <v>1</v>
      </c>
      <c r="B38" s="121" t="s">
        <v>95</v>
      </c>
      <c r="C38" s="121" t="s">
        <v>96</v>
      </c>
      <c r="D38" s="121">
        <v>21</v>
      </c>
      <c r="E38" s="130">
        <v>55</v>
      </c>
      <c r="F38" s="131">
        <f>D38/1.2-1</f>
        <v>16.5</v>
      </c>
      <c r="G38" s="132">
        <f t="shared" ref="G38:G43" si="19">D38*60/E38</f>
        <v>22.90909090909091</v>
      </c>
      <c r="H38" s="133">
        <f t="shared" ref="H38:H43" si="20">F38*0.3</f>
        <v>4.95</v>
      </c>
      <c r="I38" s="130">
        <v>6</v>
      </c>
      <c r="J38" s="132">
        <f t="shared" ref="J38:J43" si="21">G38+H38+I38</f>
        <v>33.859090909090909</v>
      </c>
      <c r="K38" s="132">
        <f t="shared" ref="K38:K43" si="22">J38*2</f>
        <v>67.718181818181819</v>
      </c>
      <c r="L38" s="176">
        <v>60</v>
      </c>
      <c r="M38" s="177">
        <f>K38/L38</f>
        <v>1.1286363636363637</v>
      </c>
      <c r="N38" s="176">
        <f t="shared" ref="N38:N43" si="23">(4*60/L38)*2+(8*60/120)*2</f>
        <v>16</v>
      </c>
      <c r="O38" s="183">
        <v>1</v>
      </c>
      <c r="P38" s="184"/>
      <c r="Q38" s="184"/>
      <c r="R38" s="96"/>
      <c r="S38" s="151"/>
      <c r="T38" s="151"/>
      <c r="U38" s="185"/>
      <c r="V38" s="186"/>
      <c r="W38" s="125"/>
      <c r="X38" s="125"/>
      <c r="Y38" s="139"/>
      <c r="Z38" s="138"/>
      <c r="AA38" s="138"/>
      <c r="AB38" s="139"/>
      <c r="AC38" s="138"/>
      <c r="AD38" s="138"/>
      <c r="AE38" s="138"/>
      <c r="AF38" s="138"/>
      <c r="AG38" s="138"/>
      <c r="AH38" s="138"/>
      <c r="AI38" s="138"/>
      <c r="AN38" s="103"/>
      <c r="AO38" s="103"/>
      <c r="AP38" s="103"/>
      <c r="AQ38" s="103"/>
    </row>
    <row r="39" spans="1:43" s="102" customFormat="1" ht="24.65" customHeight="1" x14ac:dyDescent="0.35">
      <c r="A39" s="121">
        <v>2</v>
      </c>
      <c r="B39" s="121" t="s">
        <v>97</v>
      </c>
      <c r="C39" s="121" t="s">
        <v>98</v>
      </c>
      <c r="D39" s="121">
        <v>65</v>
      </c>
      <c r="E39" s="130">
        <v>55</v>
      </c>
      <c r="F39" s="131">
        <f>D39/1.2-1</f>
        <v>53.166666666666671</v>
      </c>
      <c r="G39" s="132">
        <f t="shared" si="19"/>
        <v>70.909090909090907</v>
      </c>
      <c r="H39" s="133">
        <f t="shared" si="20"/>
        <v>15.950000000000001</v>
      </c>
      <c r="I39" s="130">
        <v>6</v>
      </c>
      <c r="J39" s="132">
        <f t="shared" si="21"/>
        <v>92.859090909090909</v>
      </c>
      <c r="K39" s="132">
        <f t="shared" si="22"/>
        <v>185.71818181818182</v>
      </c>
      <c r="L39" s="176">
        <v>60</v>
      </c>
      <c r="M39" s="177">
        <f>K39/L39</f>
        <v>3.0953030303030302</v>
      </c>
      <c r="N39" s="176">
        <f t="shared" si="23"/>
        <v>16</v>
      </c>
      <c r="O39" s="183">
        <v>3</v>
      </c>
      <c r="P39" s="184"/>
      <c r="Q39" s="184"/>
      <c r="R39" s="96"/>
      <c r="S39" s="151"/>
      <c r="T39" s="151"/>
      <c r="U39" s="151"/>
      <c r="V39" s="170"/>
      <c r="W39" s="125"/>
      <c r="X39" s="139"/>
      <c r="Y39" s="139"/>
      <c r="Z39" s="138"/>
      <c r="AA39" s="138"/>
      <c r="AB39" s="139"/>
      <c r="AC39" s="138"/>
      <c r="AD39" s="138"/>
      <c r="AE39" s="138"/>
      <c r="AF39" s="138"/>
      <c r="AG39" s="138"/>
      <c r="AH39" s="138"/>
      <c r="AI39" s="138"/>
      <c r="AN39" s="103"/>
      <c r="AO39" s="103"/>
      <c r="AP39" s="103"/>
      <c r="AQ39" s="103"/>
    </row>
    <row r="40" spans="1:43" s="102" customFormat="1" ht="24.65" customHeight="1" x14ac:dyDescent="0.35">
      <c r="A40" s="121">
        <v>3</v>
      </c>
      <c r="B40" s="121" t="s">
        <v>99</v>
      </c>
      <c r="C40" s="121" t="s">
        <v>100</v>
      </c>
      <c r="D40" s="121">
        <v>29</v>
      </c>
      <c r="E40" s="130">
        <v>55</v>
      </c>
      <c r="F40" s="131">
        <f>D40/1.2-1</f>
        <v>23.166666666666668</v>
      </c>
      <c r="G40" s="132">
        <f t="shared" si="19"/>
        <v>31.636363636363637</v>
      </c>
      <c r="H40" s="133">
        <f t="shared" si="20"/>
        <v>6.95</v>
      </c>
      <c r="I40" s="130">
        <v>6</v>
      </c>
      <c r="J40" s="132">
        <f t="shared" si="21"/>
        <v>44.586363636363636</v>
      </c>
      <c r="K40" s="132">
        <f t="shared" si="22"/>
        <v>89.172727272727272</v>
      </c>
      <c r="L40" s="176">
        <v>60</v>
      </c>
      <c r="M40" s="177">
        <f>K40/L40</f>
        <v>1.4862121212121211</v>
      </c>
      <c r="N40" s="176">
        <f t="shared" si="23"/>
        <v>16</v>
      </c>
      <c r="O40" s="183">
        <v>2</v>
      </c>
      <c r="P40" s="184"/>
      <c r="Q40" s="184"/>
      <c r="R40" s="96"/>
      <c r="S40" s="151"/>
      <c r="T40" s="151"/>
      <c r="U40" s="151"/>
      <c r="V40" s="170"/>
      <c r="W40" s="125"/>
      <c r="X40" s="139"/>
      <c r="Y40" s="139"/>
      <c r="Z40" s="138"/>
      <c r="AA40" s="138"/>
      <c r="AB40" s="139"/>
      <c r="AC40" s="138"/>
      <c r="AD40" s="138"/>
      <c r="AE40" s="138"/>
      <c r="AF40" s="138"/>
      <c r="AG40" s="138"/>
      <c r="AH40" s="138"/>
      <c r="AI40" s="138"/>
      <c r="AN40" s="103"/>
      <c r="AO40" s="103"/>
      <c r="AP40" s="103"/>
      <c r="AQ40" s="103"/>
    </row>
    <row r="41" spans="1:43" s="102" customFormat="1" ht="24.65" customHeight="1" x14ac:dyDescent="0.35">
      <c r="A41" s="121">
        <v>4</v>
      </c>
      <c r="B41" s="121" t="s">
        <v>101</v>
      </c>
      <c r="C41" s="121" t="s">
        <v>189</v>
      </c>
      <c r="D41" s="121">
        <v>43</v>
      </c>
      <c r="E41" s="130">
        <v>55</v>
      </c>
      <c r="F41" s="131">
        <f>D41/1.2-1</f>
        <v>34.833333333333336</v>
      </c>
      <c r="G41" s="132">
        <f t="shared" si="19"/>
        <v>46.909090909090907</v>
      </c>
      <c r="H41" s="133">
        <f t="shared" si="20"/>
        <v>10.450000000000001</v>
      </c>
      <c r="I41" s="130">
        <v>6</v>
      </c>
      <c r="J41" s="132">
        <f t="shared" si="21"/>
        <v>63.359090909090909</v>
      </c>
      <c r="K41" s="132">
        <f t="shared" si="22"/>
        <v>126.71818181818182</v>
      </c>
      <c r="L41" s="176">
        <v>60</v>
      </c>
      <c r="M41" s="177">
        <f>K41/L41</f>
        <v>2.1119696969696968</v>
      </c>
      <c r="N41" s="176">
        <f t="shared" si="23"/>
        <v>16</v>
      </c>
      <c r="O41" s="183">
        <v>2</v>
      </c>
      <c r="P41" s="184"/>
      <c r="Q41" s="184"/>
      <c r="R41" s="96"/>
      <c r="S41" s="151"/>
      <c r="T41" s="151"/>
      <c r="U41" s="151"/>
      <c r="V41" s="170"/>
      <c r="W41" s="125"/>
      <c r="X41" s="139"/>
      <c r="Y41" s="139"/>
      <c r="Z41" s="138"/>
      <c r="AA41" s="138"/>
      <c r="AB41" s="139"/>
      <c r="AC41" s="138"/>
      <c r="AD41" s="138"/>
      <c r="AE41" s="138"/>
      <c r="AF41" s="138"/>
      <c r="AG41" s="138"/>
      <c r="AH41" s="138"/>
      <c r="AI41" s="138"/>
      <c r="AN41" s="103"/>
      <c r="AO41" s="103"/>
      <c r="AP41" s="103"/>
      <c r="AQ41" s="103"/>
    </row>
    <row r="42" spans="1:43" s="102" customFormat="1" ht="24.65" customHeight="1" x14ac:dyDescent="0.35">
      <c r="A42" s="121">
        <v>5</v>
      </c>
      <c r="B42" s="121" t="s">
        <v>85</v>
      </c>
      <c r="C42" s="121" t="s">
        <v>86</v>
      </c>
      <c r="D42" s="121">
        <v>75</v>
      </c>
      <c r="E42" s="130">
        <v>55</v>
      </c>
      <c r="F42" s="131">
        <f>D42/1.5-1</f>
        <v>49</v>
      </c>
      <c r="G42" s="132">
        <f t="shared" si="19"/>
        <v>81.818181818181813</v>
      </c>
      <c r="H42" s="133">
        <f t="shared" si="20"/>
        <v>14.7</v>
      </c>
      <c r="I42" s="130">
        <v>6</v>
      </c>
      <c r="J42" s="132">
        <f t="shared" si="21"/>
        <v>102.51818181818182</v>
      </c>
      <c r="K42" s="132">
        <f t="shared" si="22"/>
        <v>205.03636363636363</v>
      </c>
      <c r="L42" s="176">
        <v>60</v>
      </c>
      <c r="M42" s="177">
        <f t="shared" ref="M42:M43" si="24">K42/L42</f>
        <v>3.417272727272727</v>
      </c>
      <c r="N42" s="176">
        <f t="shared" si="23"/>
        <v>16</v>
      </c>
      <c r="O42" s="149">
        <v>4</v>
      </c>
      <c r="P42" s="150"/>
      <c r="Q42" s="150"/>
      <c r="R42" s="96"/>
      <c r="S42" s="151"/>
      <c r="T42" s="151"/>
      <c r="U42" s="151"/>
      <c r="V42" s="170"/>
      <c r="W42" s="125"/>
      <c r="X42" s="139"/>
      <c r="Y42" s="139"/>
      <c r="Z42" s="138"/>
      <c r="AA42" s="138"/>
      <c r="AB42" s="138"/>
      <c r="AC42" s="138"/>
      <c r="AD42" s="138"/>
      <c r="AE42" s="138"/>
      <c r="AF42" s="138"/>
      <c r="AG42" s="138"/>
      <c r="AH42" s="138"/>
      <c r="AI42" s="138"/>
      <c r="AN42" s="103"/>
      <c r="AO42" s="103"/>
      <c r="AP42" s="103"/>
      <c r="AQ42" s="103"/>
    </row>
    <row r="43" spans="1:43" s="102" customFormat="1" ht="24.65" customHeight="1" x14ac:dyDescent="0.35">
      <c r="A43" s="121">
        <v>6</v>
      </c>
      <c r="B43" s="121" t="s">
        <v>87</v>
      </c>
      <c r="C43" s="121" t="s">
        <v>88</v>
      </c>
      <c r="D43" s="121">
        <v>30</v>
      </c>
      <c r="E43" s="130">
        <v>55</v>
      </c>
      <c r="F43" s="131">
        <f>D43/1.5-1</f>
        <v>19</v>
      </c>
      <c r="G43" s="132">
        <f t="shared" si="19"/>
        <v>32.727272727272727</v>
      </c>
      <c r="H43" s="133">
        <f t="shared" si="20"/>
        <v>5.7</v>
      </c>
      <c r="I43" s="130">
        <v>6</v>
      </c>
      <c r="J43" s="132">
        <f t="shared" si="21"/>
        <v>44.427272727272729</v>
      </c>
      <c r="K43" s="132">
        <f t="shared" si="22"/>
        <v>88.854545454545459</v>
      </c>
      <c r="L43" s="176">
        <v>60</v>
      </c>
      <c r="M43" s="177">
        <f t="shared" si="24"/>
        <v>1.480909090909091</v>
      </c>
      <c r="N43" s="176">
        <f t="shared" si="23"/>
        <v>16</v>
      </c>
      <c r="O43" s="149">
        <v>2</v>
      </c>
      <c r="P43" s="150"/>
      <c r="Q43" s="150"/>
      <c r="R43" s="96"/>
      <c r="S43" s="151"/>
      <c r="T43" s="151"/>
      <c r="U43" s="185"/>
      <c r="V43" s="186"/>
      <c r="W43" s="125"/>
      <c r="X43" s="99"/>
      <c r="Y43" s="99"/>
      <c r="Z43" s="138"/>
      <c r="AA43" s="138"/>
      <c r="AB43" s="138"/>
      <c r="AC43" s="138"/>
      <c r="AD43" s="138"/>
      <c r="AE43" s="138"/>
      <c r="AF43" s="138"/>
      <c r="AG43" s="138"/>
      <c r="AH43" s="138"/>
      <c r="AI43" s="138"/>
      <c r="AN43" s="103"/>
      <c r="AO43" s="103"/>
      <c r="AP43" s="103"/>
      <c r="AQ43" s="103"/>
    </row>
    <row r="44" spans="1:43" s="102" customFormat="1" ht="24.65" customHeight="1" x14ac:dyDescent="0.35">
      <c r="A44" s="129"/>
      <c r="B44" s="193"/>
      <c r="C44" s="193"/>
      <c r="D44" s="188">
        <f>SUM(D38:D43)</f>
        <v>263</v>
      </c>
      <c r="E44" s="156"/>
      <c r="F44" s="188">
        <f>SUM(F38:F43)</f>
        <v>195.66666666666669</v>
      </c>
      <c r="G44" s="180"/>
      <c r="H44" s="188"/>
      <c r="I44" s="189"/>
      <c r="J44" s="180"/>
      <c r="K44" s="180"/>
      <c r="L44" s="190"/>
      <c r="M44" s="188">
        <f t="shared" ref="M44:O44" si="25">SUM(M38:M43)</f>
        <v>12.720303030303029</v>
      </c>
      <c r="N44" s="188">
        <f t="shared" si="25"/>
        <v>96</v>
      </c>
      <c r="O44" s="188">
        <f t="shared" si="25"/>
        <v>14</v>
      </c>
      <c r="P44" s="184"/>
      <c r="Q44" s="184"/>
      <c r="R44" s="96"/>
      <c r="S44" s="151"/>
      <c r="T44" s="185"/>
      <c r="U44" s="185"/>
      <c r="V44" s="186"/>
      <c r="W44" s="187"/>
      <c r="X44" s="187"/>
      <c r="Y44" s="139"/>
      <c r="Z44" s="138"/>
      <c r="AA44" s="138"/>
      <c r="AB44" s="139"/>
      <c r="AC44" s="138"/>
      <c r="AD44" s="138"/>
      <c r="AE44" s="138"/>
      <c r="AF44" s="138"/>
      <c r="AG44" s="138"/>
      <c r="AH44" s="138"/>
      <c r="AI44" s="138"/>
      <c r="AN44" s="103"/>
      <c r="AO44" s="103"/>
      <c r="AP44" s="103"/>
      <c r="AQ44" s="103"/>
    </row>
    <row r="45" spans="1:43" s="102" customFormat="1" ht="24.65" customHeight="1" x14ac:dyDescent="0.35">
      <c r="A45" s="129"/>
      <c r="B45" s="194"/>
      <c r="C45" s="195"/>
      <c r="D45" s="196"/>
      <c r="E45" s="130"/>
      <c r="F45" s="131"/>
      <c r="G45" s="132"/>
      <c r="H45" s="133"/>
      <c r="I45" s="130"/>
      <c r="J45" s="132"/>
      <c r="K45" s="132"/>
      <c r="L45" s="135"/>
      <c r="M45" s="191"/>
      <c r="N45" s="197"/>
      <c r="O45" s="184"/>
      <c r="P45" s="184"/>
      <c r="Q45" s="184"/>
      <c r="R45" s="96"/>
      <c r="S45" s="151"/>
      <c r="T45" s="185"/>
      <c r="U45" s="185"/>
      <c r="V45" s="186"/>
      <c r="W45" s="187"/>
      <c r="X45" s="187"/>
      <c r="Y45" s="139"/>
      <c r="Z45" s="138"/>
      <c r="AA45" s="138"/>
      <c r="AB45" s="139"/>
      <c r="AC45" s="138"/>
      <c r="AD45" s="138"/>
      <c r="AE45" s="138"/>
      <c r="AF45" s="138"/>
      <c r="AG45" s="138"/>
      <c r="AH45" s="138"/>
      <c r="AI45" s="138"/>
      <c r="AN45" s="103"/>
      <c r="AO45" s="103"/>
      <c r="AP45" s="103"/>
      <c r="AQ45" s="103"/>
    </row>
    <row r="46" spans="1:43" s="102" customFormat="1" ht="24.65" customHeight="1" thickBot="1" x14ac:dyDescent="0.4">
      <c r="A46" s="129">
        <f>13+11+2+6</f>
        <v>32</v>
      </c>
      <c r="B46" s="194"/>
      <c r="C46" s="195"/>
      <c r="D46" s="196"/>
      <c r="E46" s="130"/>
      <c r="F46" s="131"/>
      <c r="G46" s="132"/>
      <c r="H46" s="133"/>
      <c r="I46" s="130"/>
      <c r="J46" s="132"/>
      <c r="K46" s="132"/>
      <c r="L46" s="135"/>
      <c r="M46" s="191"/>
      <c r="N46" s="197"/>
      <c r="O46" s="184"/>
      <c r="P46" s="184"/>
      <c r="Q46" s="184"/>
      <c r="R46" s="95"/>
      <c r="S46" s="198"/>
      <c r="T46" s="185"/>
      <c r="U46" s="199"/>
      <c r="V46" s="200"/>
      <c r="W46" s="201"/>
      <c r="X46" s="187"/>
      <c r="Y46" s="202"/>
      <c r="Z46" s="203"/>
      <c r="AA46" s="203"/>
      <c r="AB46" s="202"/>
      <c r="AC46" s="203"/>
      <c r="AD46" s="203"/>
      <c r="AE46" s="203"/>
      <c r="AF46" s="203"/>
      <c r="AG46" s="203"/>
      <c r="AH46" s="203"/>
      <c r="AI46" s="203"/>
      <c r="AN46" s="103"/>
      <c r="AO46" s="103"/>
      <c r="AP46" s="103"/>
      <c r="AQ46" s="103"/>
    </row>
    <row r="47" spans="1:43" s="102" customFormat="1" ht="24.65" customHeight="1" thickBot="1" x14ac:dyDescent="0.4">
      <c r="A47" s="121">
        <f>13+11</f>
        <v>24</v>
      </c>
      <c r="B47" s="196"/>
      <c r="C47" s="196"/>
      <c r="D47" s="196"/>
      <c r="E47" s="130"/>
      <c r="F47" s="131"/>
      <c r="G47" s="132"/>
      <c r="H47" s="133"/>
      <c r="I47" s="130"/>
      <c r="J47" s="132"/>
      <c r="K47" s="132"/>
      <c r="L47" s="135"/>
      <c r="M47" s="191"/>
      <c r="N47" s="197"/>
      <c r="O47" s="184"/>
      <c r="P47" s="184"/>
      <c r="Q47" s="184"/>
      <c r="R47" s="95"/>
      <c r="S47" s="121"/>
      <c r="T47" s="185"/>
      <c r="U47" s="199"/>
      <c r="V47" s="200"/>
      <c r="W47" s="201"/>
      <c r="X47" s="187"/>
      <c r="Y47" s="204"/>
      <c r="Z47" s="135"/>
      <c r="AA47" s="135"/>
      <c r="AB47" s="204"/>
      <c r="AC47" s="135"/>
      <c r="AD47" s="135"/>
      <c r="AE47" s="135"/>
      <c r="AF47" s="135"/>
      <c r="AG47" s="135"/>
      <c r="AH47" s="135"/>
      <c r="AI47" s="135"/>
      <c r="AN47" s="103"/>
      <c r="AO47" s="103"/>
      <c r="AP47" s="103"/>
      <c r="AQ47" s="103"/>
    </row>
    <row r="48" spans="1:43" ht="24.65" customHeight="1" thickBot="1" x14ac:dyDescent="0.4"/>
    <row r="49" spans="1:43" ht="24.65" customHeight="1" x14ac:dyDescent="0.35">
      <c r="AI49" s="101" t="s">
        <v>203</v>
      </c>
    </row>
    <row r="50" spans="1:43" ht="24.65" customHeight="1" thickBot="1" x14ac:dyDescent="0.4">
      <c r="A50" s="427" t="s">
        <v>218</v>
      </c>
      <c r="B50" s="427"/>
      <c r="C50" s="427"/>
      <c r="AI50" s="110" t="s">
        <v>30</v>
      </c>
    </row>
    <row r="51" spans="1:43" ht="24.65" customHeight="1" thickBot="1" x14ac:dyDescent="0.4">
      <c r="AI51" s="119">
        <v>24.4</v>
      </c>
      <c r="AJ51" s="102">
        <v>1</v>
      </c>
    </row>
    <row r="52" spans="1:43" ht="39" customHeight="1" thickBot="1" x14ac:dyDescent="0.4">
      <c r="A52" s="416" t="s">
        <v>0</v>
      </c>
      <c r="B52" s="416" t="s">
        <v>27</v>
      </c>
      <c r="C52" s="416" t="s">
        <v>28</v>
      </c>
      <c r="D52" s="120" t="s">
        <v>29</v>
      </c>
      <c r="E52" s="411" t="s">
        <v>60</v>
      </c>
      <c r="F52" s="410" t="s">
        <v>61</v>
      </c>
      <c r="G52" s="409" t="s">
        <v>62</v>
      </c>
      <c r="H52" s="410" t="s">
        <v>63</v>
      </c>
      <c r="I52" s="411" t="s">
        <v>64</v>
      </c>
      <c r="J52" s="409" t="s">
        <v>65</v>
      </c>
      <c r="K52" s="411" t="s">
        <v>66</v>
      </c>
      <c r="L52" s="412" t="s">
        <v>206</v>
      </c>
      <c r="M52" s="411" t="s">
        <v>68</v>
      </c>
      <c r="N52" s="429" t="s">
        <v>219</v>
      </c>
      <c r="O52" s="411" t="s">
        <v>220</v>
      </c>
      <c r="S52" s="212">
        <v>40</v>
      </c>
      <c r="T52" s="213">
        <v>44</v>
      </c>
      <c r="AI52" s="119">
        <v>25.2</v>
      </c>
      <c r="AJ52" s="102">
        <v>2</v>
      </c>
    </row>
    <row r="53" spans="1:43" s="146" customFormat="1" ht="39" customHeight="1" thickBot="1" x14ac:dyDescent="0.4">
      <c r="A53" s="416"/>
      <c r="B53" s="416"/>
      <c r="C53" s="416"/>
      <c r="D53" s="120" t="s">
        <v>30</v>
      </c>
      <c r="E53" s="411"/>
      <c r="F53" s="410"/>
      <c r="G53" s="409"/>
      <c r="H53" s="410"/>
      <c r="I53" s="411"/>
      <c r="J53" s="409"/>
      <c r="K53" s="411"/>
      <c r="L53" s="412"/>
      <c r="M53" s="411"/>
      <c r="N53" s="429"/>
      <c r="O53" s="411"/>
      <c r="P53" s="95"/>
      <c r="Q53" s="95"/>
      <c r="R53" s="95"/>
      <c r="S53" s="214">
        <v>33</v>
      </c>
      <c r="T53" s="215">
        <v>36</v>
      </c>
      <c r="U53" s="205"/>
      <c r="V53" s="103"/>
      <c r="Z53" s="210"/>
      <c r="AA53" s="210"/>
      <c r="AB53" s="210"/>
      <c r="AC53" s="210"/>
      <c r="AD53" s="210"/>
      <c r="AF53" s="210"/>
      <c r="AG53" s="210"/>
      <c r="AH53" s="209"/>
      <c r="AI53" s="119">
        <v>35</v>
      </c>
      <c r="AJ53" s="102">
        <v>3</v>
      </c>
      <c r="AK53" s="102"/>
      <c r="AL53" s="102"/>
      <c r="AM53" s="102"/>
      <c r="AN53" s="103"/>
      <c r="AO53" s="103"/>
      <c r="AP53" s="103"/>
      <c r="AQ53" s="103"/>
    </row>
    <row r="54" spans="1:43" s="146" customFormat="1" ht="24.65" customHeight="1" thickBot="1" x14ac:dyDescent="0.4">
      <c r="A54" s="120" t="s">
        <v>24</v>
      </c>
      <c r="B54" s="419" t="s">
        <v>31</v>
      </c>
      <c r="C54" s="419"/>
      <c r="D54" s="419"/>
      <c r="E54" s="130"/>
      <c r="F54" s="133"/>
      <c r="G54" s="132"/>
      <c r="H54" s="133"/>
      <c r="I54" s="134"/>
      <c r="J54" s="132"/>
      <c r="K54" s="130"/>
      <c r="L54" s="135"/>
      <c r="M54" s="135"/>
      <c r="N54" s="216"/>
      <c r="O54" s="217"/>
      <c r="P54" s="95"/>
      <c r="Q54" s="95"/>
      <c r="R54" s="95"/>
      <c r="S54" s="214">
        <v>4</v>
      </c>
      <c r="T54" s="215">
        <v>4</v>
      </c>
      <c r="U54" s="205"/>
      <c r="V54" s="103"/>
      <c r="Z54" s="210"/>
      <c r="AA54" s="210"/>
      <c r="AB54" s="210"/>
      <c r="AC54" s="210"/>
      <c r="AD54" s="210"/>
      <c r="AF54" s="210"/>
      <c r="AG54" s="210"/>
      <c r="AH54" s="209"/>
      <c r="AI54" s="119">
        <v>64.5</v>
      </c>
      <c r="AJ54" s="102">
        <v>4</v>
      </c>
      <c r="AK54" s="102"/>
      <c r="AL54" s="102"/>
      <c r="AM54" s="102"/>
      <c r="AN54" s="103"/>
      <c r="AO54" s="103"/>
      <c r="AP54" s="103"/>
      <c r="AQ54" s="103"/>
    </row>
    <row r="55" spans="1:43" s="146" customFormat="1" ht="24.65" customHeight="1" thickBot="1" x14ac:dyDescent="0.4">
      <c r="A55" s="120">
        <v>1.1000000000000001</v>
      </c>
      <c r="B55" s="419" t="s">
        <v>76</v>
      </c>
      <c r="C55" s="419"/>
      <c r="D55" s="129"/>
      <c r="E55" s="130"/>
      <c r="F55" s="133"/>
      <c r="G55" s="132"/>
      <c r="H55" s="133"/>
      <c r="I55" s="134"/>
      <c r="J55" s="132"/>
      <c r="K55" s="130"/>
      <c r="L55" s="135"/>
      <c r="M55" s="135"/>
      <c r="N55" s="216"/>
      <c r="O55" s="217"/>
      <c r="P55" s="95"/>
      <c r="Q55" s="95"/>
      <c r="R55" s="95"/>
      <c r="S55" s="214">
        <v>14</v>
      </c>
      <c r="T55" s="215">
        <v>15</v>
      </c>
      <c r="U55" s="205"/>
      <c r="V55" s="103"/>
      <c r="Z55" s="210"/>
      <c r="AA55" s="210"/>
      <c r="AB55" s="210"/>
      <c r="AC55" s="210"/>
      <c r="AD55" s="210"/>
      <c r="AF55" s="210"/>
      <c r="AG55" s="210"/>
      <c r="AH55" s="209"/>
      <c r="AI55" s="119">
        <v>20</v>
      </c>
      <c r="AJ55" s="102">
        <v>5</v>
      </c>
      <c r="AK55" s="102"/>
      <c r="AL55" s="102"/>
      <c r="AM55" s="102"/>
      <c r="AN55" s="103"/>
      <c r="AO55" s="103"/>
      <c r="AP55" s="103"/>
      <c r="AQ55" s="103"/>
    </row>
    <row r="56" spans="1:43" s="146" customFormat="1" ht="42" customHeight="1" thickBot="1" x14ac:dyDescent="0.4">
      <c r="A56" s="121">
        <v>1</v>
      </c>
      <c r="B56" s="121" t="s">
        <v>32</v>
      </c>
      <c r="C56" s="121" t="s">
        <v>33</v>
      </c>
      <c r="D56" s="121">
        <v>24.4</v>
      </c>
      <c r="E56" s="130">
        <v>50</v>
      </c>
      <c r="F56" s="133">
        <f t="shared" ref="F56:F63" si="26">D56/0.65-1</f>
        <v>36.538461538461533</v>
      </c>
      <c r="G56" s="132">
        <f t="shared" ref="G56:G68" si="27">D56*60/E56</f>
        <v>29.28</v>
      </c>
      <c r="H56" s="133">
        <f>F56*0.3</f>
        <v>10.96153846153846</v>
      </c>
      <c r="I56" s="130">
        <v>6</v>
      </c>
      <c r="J56" s="132">
        <f>G56+H56+I56</f>
        <v>46.241538461538461</v>
      </c>
      <c r="K56" s="132">
        <f>J56*2</f>
        <v>92.483076923076922</v>
      </c>
      <c r="L56" s="147">
        <v>20</v>
      </c>
      <c r="M56" s="149">
        <v>5</v>
      </c>
      <c r="N56" s="218">
        <f>N8</f>
        <v>46</v>
      </c>
      <c r="O56" s="135">
        <f>D56*N56</f>
        <v>1122.3999999999999</v>
      </c>
      <c r="P56" s="95"/>
      <c r="Q56" s="430" t="s">
        <v>106</v>
      </c>
      <c r="R56" s="430"/>
      <c r="S56" s="430" t="s">
        <v>221</v>
      </c>
      <c r="T56" s="219" t="s">
        <v>222</v>
      </c>
      <c r="U56" s="219" t="s">
        <v>125</v>
      </c>
      <c r="V56" s="219" t="s">
        <v>127</v>
      </c>
      <c r="Z56" s="210"/>
      <c r="AA56" s="210"/>
      <c r="AB56" s="210"/>
      <c r="AC56" s="210"/>
      <c r="AD56" s="210"/>
      <c r="AF56" s="210"/>
      <c r="AG56" s="210"/>
      <c r="AH56" s="209"/>
      <c r="AI56" s="119">
        <v>43.9</v>
      </c>
      <c r="AJ56" s="102">
        <v>6</v>
      </c>
      <c r="AK56" s="102"/>
      <c r="AL56" s="102"/>
      <c r="AM56" s="102"/>
      <c r="AN56" s="103"/>
      <c r="AO56" s="103"/>
      <c r="AP56" s="103"/>
      <c r="AQ56" s="103"/>
    </row>
    <row r="57" spans="1:43" s="146" customFormat="1" ht="24.65" customHeight="1" thickBot="1" x14ac:dyDescent="0.4">
      <c r="A57" s="121">
        <v>2</v>
      </c>
      <c r="B57" s="121" t="s">
        <v>34</v>
      </c>
      <c r="C57" s="121" t="s">
        <v>131</v>
      </c>
      <c r="D57" s="121">
        <v>25.2</v>
      </c>
      <c r="E57" s="130">
        <v>50</v>
      </c>
      <c r="F57" s="133">
        <f t="shared" si="26"/>
        <v>37.769230769230766</v>
      </c>
      <c r="G57" s="132">
        <f t="shared" si="27"/>
        <v>30.24</v>
      </c>
      <c r="H57" s="133">
        <f t="shared" ref="H57:H66" si="28">F57*0.3</f>
        <v>11.33076923076923</v>
      </c>
      <c r="I57" s="130">
        <v>6</v>
      </c>
      <c r="J57" s="132">
        <f t="shared" ref="J57:J66" si="29">G57+H57+I57</f>
        <v>47.57076923076923</v>
      </c>
      <c r="K57" s="132">
        <f t="shared" ref="K57:K66" si="30">J57*2</f>
        <v>95.14153846153846</v>
      </c>
      <c r="L57" s="147">
        <v>20</v>
      </c>
      <c r="M57" s="149">
        <v>5</v>
      </c>
      <c r="N57" s="218">
        <f t="shared" ref="N57:N68" si="31">N9</f>
        <v>46</v>
      </c>
      <c r="O57" s="135">
        <f t="shared" ref="O57:O80" si="32">D57*N57</f>
        <v>1159.2</v>
      </c>
      <c r="P57" s="95"/>
      <c r="Q57" s="430"/>
      <c r="R57" s="430"/>
      <c r="S57" s="430"/>
      <c r="T57" s="220" t="s">
        <v>124</v>
      </c>
      <c r="U57" s="220" t="s">
        <v>126</v>
      </c>
      <c r="V57" s="220" t="s">
        <v>126</v>
      </c>
      <c r="Z57" s="210"/>
      <c r="AA57" s="210"/>
      <c r="AB57" s="210"/>
      <c r="AC57" s="210"/>
      <c r="AD57" s="210"/>
      <c r="AF57" s="210"/>
      <c r="AG57" s="210"/>
      <c r="AH57" s="209"/>
      <c r="AI57" s="119">
        <v>50</v>
      </c>
      <c r="AJ57" s="102">
        <v>7</v>
      </c>
      <c r="AK57" s="102"/>
      <c r="AL57" s="102"/>
      <c r="AM57" s="102"/>
      <c r="AN57" s="103"/>
      <c r="AO57" s="103"/>
      <c r="AP57" s="103"/>
      <c r="AQ57" s="103"/>
    </row>
    <row r="58" spans="1:43" s="146" customFormat="1" ht="24.65" customHeight="1" thickBot="1" x14ac:dyDescent="0.4">
      <c r="A58" s="121">
        <v>3</v>
      </c>
      <c r="B58" s="121" t="s">
        <v>36</v>
      </c>
      <c r="C58" s="121" t="s">
        <v>69</v>
      </c>
      <c r="D58" s="121">
        <v>20</v>
      </c>
      <c r="E58" s="130">
        <v>55</v>
      </c>
      <c r="F58" s="133">
        <f t="shared" si="26"/>
        <v>29.769230769230766</v>
      </c>
      <c r="G58" s="132">
        <f t="shared" si="27"/>
        <v>21.818181818181817</v>
      </c>
      <c r="H58" s="133">
        <f t="shared" si="28"/>
        <v>8.9307692307692292</v>
      </c>
      <c r="I58" s="130">
        <v>6</v>
      </c>
      <c r="J58" s="132">
        <f t="shared" si="29"/>
        <v>36.748951048951042</v>
      </c>
      <c r="K58" s="132">
        <f t="shared" si="30"/>
        <v>73.497902097902085</v>
      </c>
      <c r="L58" s="153">
        <v>40</v>
      </c>
      <c r="M58" s="149">
        <v>2</v>
      </c>
      <c r="N58" s="218">
        <f t="shared" si="31"/>
        <v>23</v>
      </c>
      <c r="O58" s="135">
        <f t="shared" si="32"/>
        <v>460</v>
      </c>
      <c r="P58" s="95"/>
      <c r="Q58" s="433">
        <v>2030</v>
      </c>
      <c r="R58" s="221" t="s">
        <v>223</v>
      </c>
      <c r="S58" s="222">
        <f>M69</f>
        <v>40</v>
      </c>
      <c r="T58" s="222">
        <v>44</v>
      </c>
      <c r="U58" s="222">
        <f>T58*40</f>
        <v>1760</v>
      </c>
      <c r="V58" s="223">
        <f>U58*1.5</f>
        <v>2640</v>
      </c>
      <c r="Z58" s="210"/>
      <c r="AA58" s="210"/>
      <c r="AB58" s="210"/>
      <c r="AC58" s="210"/>
      <c r="AD58" s="210"/>
      <c r="AF58" s="210"/>
      <c r="AG58" s="210"/>
      <c r="AH58" s="209"/>
      <c r="AI58" s="119">
        <v>37</v>
      </c>
      <c r="AJ58" s="102">
        <v>8</v>
      </c>
      <c r="AK58" s="102"/>
      <c r="AL58" s="102"/>
      <c r="AM58" s="102"/>
      <c r="AN58" s="103"/>
      <c r="AO58" s="103"/>
      <c r="AP58" s="103"/>
      <c r="AQ58" s="103"/>
    </row>
    <row r="59" spans="1:43" s="228" customFormat="1" ht="24.65" customHeight="1" thickBot="1" x14ac:dyDescent="0.4">
      <c r="A59" s="155">
        <v>4</v>
      </c>
      <c r="B59" s="155" t="s">
        <v>37</v>
      </c>
      <c r="C59" s="155" t="s">
        <v>38</v>
      </c>
      <c r="D59" s="155">
        <v>43.9</v>
      </c>
      <c r="E59" s="156">
        <v>55</v>
      </c>
      <c r="F59" s="159">
        <f t="shared" si="26"/>
        <v>66.538461538461533</v>
      </c>
      <c r="G59" s="158">
        <f t="shared" si="27"/>
        <v>47.890909090909091</v>
      </c>
      <c r="H59" s="159">
        <f t="shared" si="28"/>
        <v>19.96153846153846</v>
      </c>
      <c r="I59" s="156">
        <v>6</v>
      </c>
      <c r="J59" s="158">
        <f t="shared" si="29"/>
        <v>73.852447552447558</v>
      </c>
      <c r="K59" s="158">
        <f t="shared" si="30"/>
        <v>147.70489510489512</v>
      </c>
      <c r="L59" s="147">
        <f>L11</f>
        <v>60</v>
      </c>
      <c r="M59" s="147">
        <v>3</v>
      </c>
      <c r="N59" s="224">
        <f t="shared" si="31"/>
        <v>21.666666666666664</v>
      </c>
      <c r="O59" s="147">
        <f t="shared" si="32"/>
        <v>951.16666666666652</v>
      </c>
      <c r="P59" s="161"/>
      <c r="Q59" s="433"/>
      <c r="R59" s="225" t="s">
        <v>224</v>
      </c>
      <c r="S59" s="226">
        <f>M81</f>
        <v>33</v>
      </c>
      <c r="T59" s="226">
        <v>36.300000000000004</v>
      </c>
      <c r="U59" s="226">
        <f t="shared" ref="U59" si="33">T59*40</f>
        <v>1452.0000000000002</v>
      </c>
      <c r="V59" s="227">
        <f t="shared" ref="V59" si="34">U59*1.5</f>
        <v>2178.0000000000005</v>
      </c>
      <c r="Z59" s="229"/>
      <c r="AA59" s="229"/>
      <c r="AB59" s="229"/>
      <c r="AC59" s="229"/>
      <c r="AD59" s="229"/>
      <c r="AF59" s="229"/>
      <c r="AG59" s="229"/>
      <c r="AH59" s="229"/>
      <c r="AI59" s="119">
        <v>18.5</v>
      </c>
      <c r="AJ59" s="102">
        <v>9</v>
      </c>
      <c r="AK59" s="165"/>
      <c r="AL59" s="165"/>
      <c r="AM59" s="165"/>
      <c r="AN59" s="166"/>
      <c r="AO59" s="166"/>
      <c r="AP59" s="166"/>
      <c r="AQ59" s="166"/>
    </row>
    <row r="60" spans="1:43" s="146" customFormat="1" ht="24.65" customHeight="1" thickBot="1" x14ac:dyDescent="0.4">
      <c r="A60" s="121">
        <v>5</v>
      </c>
      <c r="B60" s="121" t="s">
        <v>39</v>
      </c>
      <c r="C60" s="121" t="s">
        <v>40</v>
      </c>
      <c r="D60" s="121">
        <v>37</v>
      </c>
      <c r="E60" s="130">
        <v>55</v>
      </c>
      <c r="F60" s="133">
        <f t="shared" si="26"/>
        <v>55.92307692307692</v>
      </c>
      <c r="G60" s="132">
        <f t="shared" si="27"/>
        <v>40.363636363636367</v>
      </c>
      <c r="H60" s="133">
        <f t="shared" si="28"/>
        <v>16.776923076923076</v>
      </c>
      <c r="I60" s="130">
        <v>6</v>
      </c>
      <c r="J60" s="132">
        <f t="shared" si="29"/>
        <v>63.140559440559443</v>
      </c>
      <c r="K60" s="132">
        <f t="shared" si="30"/>
        <v>126.28111888111889</v>
      </c>
      <c r="L60" s="167">
        <v>60</v>
      </c>
      <c r="M60" s="149">
        <v>2</v>
      </c>
      <c r="N60" s="218">
        <f t="shared" si="31"/>
        <v>18.5</v>
      </c>
      <c r="O60" s="135">
        <f t="shared" si="32"/>
        <v>684.5</v>
      </c>
      <c r="P60" s="95"/>
      <c r="Q60" s="433">
        <v>2035</v>
      </c>
      <c r="R60" s="221" t="s">
        <v>223</v>
      </c>
      <c r="S60" s="222">
        <f>M85</f>
        <v>4</v>
      </c>
      <c r="T60" s="222">
        <v>4.4000000000000004</v>
      </c>
      <c r="U60" s="222">
        <f>T60*40</f>
        <v>176</v>
      </c>
      <c r="V60" s="223">
        <f>U60*1.5</f>
        <v>264</v>
      </c>
      <c r="Z60" s="210"/>
      <c r="AA60" s="210"/>
      <c r="AB60" s="210"/>
      <c r="AC60" s="210"/>
      <c r="AD60" s="210"/>
      <c r="AF60" s="210"/>
      <c r="AG60" s="210"/>
      <c r="AH60" s="209"/>
      <c r="AI60" s="119">
        <v>15</v>
      </c>
      <c r="AJ60" s="102">
        <v>10</v>
      </c>
      <c r="AK60" s="102"/>
      <c r="AL60" s="102"/>
      <c r="AM60" s="102"/>
      <c r="AN60" s="103"/>
      <c r="AO60" s="103"/>
      <c r="AP60" s="103"/>
      <c r="AQ60" s="103"/>
    </row>
    <row r="61" spans="1:43" s="146" customFormat="1" ht="24.65" customHeight="1" thickBot="1" x14ac:dyDescent="0.4">
      <c r="A61" s="121">
        <v>6</v>
      </c>
      <c r="B61" s="121" t="s">
        <v>41</v>
      </c>
      <c r="C61" s="121" t="s">
        <v>177</v>
      </c>
      <c r="D61" s="121">
        <v>24.5</v>
      </c>
      <c r="E61" s="130">
        <v>50</v>
      </c>
      <c r="F61" s="133">
        <f t="shared" si="26"/>
        <v>36.692307692307693</v>
      </c>
      <c r="G61" s="132">
        <f t="shared" si="27"/>
        <v>29.4</v>
      </c>
      <c r="H61" s="133">
        <f t="shared" si="28"/>
        <v>11.007692307692308</v>
      </c>
      <c r="I61" s="130">
        <v>6</v>
      </c>
      <c r="J61" s="132">
        <f t="shared" si="29"/>
        <v>46.407692307692308</v>
      </c>
      <c r="K61" s="132">
        <f t="shared" si="30"/>
        <v>92.815384615384616</v>
      </c>
      <c r="L61" s="136">
        <v>30</v>
      </c>
      <c r="M61" s="149">
        <v>3</v>
      </c>
      <c r="N61" s="218">
        <f t="shared" si="31"/>
        <v>30.666666666666664</v>
      </c>
      <c r="O61" s="135">
        <f t="shared" si="32"/>
        <v>751.33333333333326</v>
      </c>
      <c r="P61" s="95"/>
      <c r="Q61" s="433"/>
      <c r="R61" s="221" t="s">
        <v>109</v>
      </c>
      <c r="S61" s="222">
        <f>M92</f>
        <v>14</v>
      </c>
      <c r="T61" s="222">
        <v>15.400000000000002</v>
      </c>
      <c r="U61" s="222">
        <f>T61*40</f>
        <v>616.00000000000011</v>
      </c>
      <c r="V61" s="223">
        <f>U61*1.5</f>
        <v>924.00000000000023</v>
      </c>
      <c r="Z61" s="210"/>
      <c r="AA61" s="210"/>
      <c r="AB61" s="210"/>
      <c r="AC61" s="210"/>
      <c r="AD61" s="210"/>
      <c r="AF61" s="210"/>
      <c r="AG61" s="210"/>
      <c r="AH61" s="209"/>
      <c r="AI61" s="119">
        <v>24.2</v>
      </c>
      <c r="AJ61" s="102">
        <v>11</v>
      </c>
      <c r="AK61" s="102"/>
      <c r="AL61" s="102"/>
      <c r="AM61" s="102"/>
      <c r="AN61" s="103"/>
      <c r="AO61" s="103"/>
      <c r="AP61" s="103"/>
      <c r="AQ61" s="103"/>
    </row>
    <row r="62" spans="1:43" s="146" customFormat="1" ht="24.65" customHeight="1" thickBot="1" x14ac:dyDescent="0.4">
      <c r="A62" s="121">
        <v>7</v>
      </c>
      <c r="B62" s="121" t="s">
        <v>43</v>
      </c>
      <c r="C62" s="121" t="s">
        <v>178</v>
      </c>
      <c r="D62" s="121">
        <v>24.2</v>
      </c>
      <c r="E62" s="130">
        <v>50</v>
      </c>
      <c r="F62" s="133">
        <f t="shared" si="26"/>
        <v>36.230769230769226</v>
      </c>
      <c r="G62" s="132">
        <f t="shared" si="27"/>
        <v>29.04</v>
      </c>
      <c r="H62" s="133">
        <f t="shared" si="28"/>
        <v>10.869230769230768</v>
      </c>
      <c r="I62" s="130">
        <v>6</v>
      </c>
      <c r="J62" s="132">
        <f t="shared" si="29"/>
        <v>45.909230769230767</v>
      </c>
      <c r="K62" s="132">
        <f t="shared" si="30"/>
        <v>91.818461538461534</v>
      </c>
      <c r="L62" s="136">
        <v>30</v>
      </c>
      <c r="M62" s="149">
        <v>3</v>
      </c>
      <c r="N62" s="218">
        <f t="shared" si="31"/>
        <v>30.666666666666664</v>
      </c>
      <c r="O62" s="135">
        <f t="shared" si="32"/>
        <v>742.13333333333321</v>
      </c>
      <c r="P62" s="95"/>
      <c r="Q62" s="95"/>
      <c r="R62" s="95"/>
      <c r="S62" s="146">
        <f>SUM(S58:S59)</f>
        <v>73</v>
      </c>
      <c r="T62" s="146">
        <f>SUM(T58:T59)</f>
        <v>80.300000000000011</v>
      </c>
      <c r="U62" s="205"/>
      <c r="V62" s="103"/>
      <c r="Z62" s="210"/>
      <c r="AA62" s="210"/>
      <c r="AB62" s="210"/>
      <c r="AC62" s="210"/>
      <c r="AD62" s="210"/>
      <c r="AF62" s="210"/>
      <c r="AG62" s="210"/>
      <c r="AH62" s="209"/>
      <c r="AI62" s="119">
        <v>25.6</v>
      </c>
      <c r="AJ62" s="102">
        <v>12</v>
      </c>
      <c r="AK62" s="102"/>
      <c r="AL62" s="102"/>
      <c r="AM62" s="102"/>
      <c r="AN62" s="103"/>
      <c r="AO62" s="103"/>
      <c r="AP62" s="103"/>
      <c r="AQ62" s="103"/>
    </row>
    <row r="63" spans="1:43" s="146" customFormat="1" ht="24.65" customHeight="1" thickBot="1" x14ac:dyDescent="0.4">
      <c r="A63" s="121">
        <v>8</v>
      </c>
      <c r="B63" s="121" t="s">
        <v>45</v>
      </c>
      <c r="C63" s="121" t="s">
        <v>179</v>
      </c>
      <c r="D63" s="121">
        <v>25.6</v>
      </c>
      <c r="E63" s="130">
        <v>50</v>
      </c>
      <c r="F63" s="133">
        <f t="shared" si="26"/>
        <v>38.384615384615387</v>
      </c>
      <c r="G63" s="132">
        <f t="shared" si="27"/>
        <v>30.72</v>
      </c>
      <c r="H63" s="133">
        <f t="shared" si="28"/>
        <v>11.515384615384615</v>
      </c>
      <c r="I63" s="130">
        <v>6</v>
      </c>
      <c r="J63" s="132">
        <f t="shared" si="29"/>
        <v>48.235384615384618</v>
      </c>
      <c r="K63" s="132">
        <f t="shared" si="30"/>
        <v>96.470769230769235</v>
      </c>
      <c r="L63" s="136">
        <v>30</v>
      </c>
      <c r="M63" s="149">
        <v>3</v>
      </c>
      <c r="N63" s="218">
        <f t="shared" si="31"/>
        <v>30.666666666666664</v>
      </c>
      <c r="O63" s="135">
        <f t="shared" si="32"/>
        <v>785.06666666666661</v>
      </c>
      <c r="P63" s="95"/>
      <c r="Q63" s="95"/>
      <c r="R63" s="95"/>
      <c r="S63" s="146">
        <f>SUM(S60:S61)</f>
        <v>18</v>
      </c>
      <c r="T63" s="146">
        <f>SUM(T60:T61)</f>
        <v>19.800000000000004</v>
      </c>
      <c r="U63" s="205"/>
      <c r="V63" s="103"/>
      <c r="Z63" s="210"/>
      <c r="AA63" s="210"/>
      <c r="AB63" s="210"/>
      <c r="AC63" s="210"/>
      <c r="AD63" s="210"/>
      <c r="AF63" s="210"/>
      <c r="AG63" s="210"/>
      <c r="AH63" s="209"/>
      <c r="AI63" s="119">
        <v>45</v>
      </c>
      <c r="AJ63" s="102">
        <v>13</v>
      </c>
      <c r="AK63" s="102"/>
      <c r="AL63" s="102"/>
      <c r="AM63" s="102"/>
      <c r="AN63" s="103"/>
      <c r="AO63" s="103"/>
      <c r="AP63" s="103"/>
      <c r="AQ63" s="103"/>
    </row>
    <row r="64" spans="1:43" s="146" customFormat="1" ht="24.65" customHeight="1" x14ac:dyDescent="0.35">
      <c r="A64" s="121">
        <v>9</v>
      </c>
      <c r="B64" s="121" t="s">
        <v>47</v>
      </c>
      <c r="C64" s="230" t="s">
        <v>70</v>
      </c>
      <c r="D64" s="121">
        <v>45</v>
      </c>
      <c r="E64" s="130">
        <v>55</v>
      </c>
      <c r="F64" s="133">
        <f>D64/1.2-1</f>
        <v>36.5</v>
      </c>
      <c r="G64" s="132">
        <f t="shared" si="27"/>
        <v>49.090909090909093</v>
      </c>
      <c r="H64" s="133">
        <f t="shared" si="28"/>
        <v>10.95</v>
      </c>
      <c r="I64" s="130">
        <v>6</v>
      </c>
      <c r="J64" s="132">
        <f t="shared" si="29"/>
        <v>66.040909090909096</v>
      </c>
      <c r="K64" s="132">
        <f t="shared" si="30"/>
        <v>132.08181818181819</v>
      </c>
      <c r="L64" s="176">
        <v>60</v>
      </c>
      <c r="M64" s="149">
        <v>2</v>
      </c>
      <c r="N64" s="218">
        <f t="shared" si="31"/>
        <v>16</v>
      </c>
      <c r="O64" s="135">
        <f t="shared" si="32"/>
        <v>720</v>
      </c>
      <c r="P64" s="95"/>
      <c r="Q64" s="95"/>
      <c r="R64" s="95"/>
      <c r="S64" s="146">
        <f>S58+S60</f>
        <v>44</v>
      </c>
      <c r="T64" s="103"/>
      <c r="U64" s="205"/>
      <c r="V64" s="103"/>
      <c r="Z64" s="210"/>
      <c r="AA64" s="210"/>
      <c r="AB64" s="210"/>
      <c r="AC64" s="210"/>
      <c r="AD64" s="210"/>
      <c r="AF64" s="210"/>
      <c r="AG64" s="210"/>
      <c r="AH64" s="209"/>
      <c r="AI64" s="229">
        <f>SUM(AI51:AI63)</f>
        <v>428.3</v>
      </c>
      <c r="AJ64" s="102"/>
      <c r="AK64" s="102"/>
      <c r="AL64" s="102"/>
      <c r="AM64" s="102"/>
      <c r="AN64" s="103"/>
      <c r="AO64" s="103"/>
      <c r="AP64" s="103"/>
      <c r="AQ64" s="103"/>
    </row>
    <row r="65" spans="1:43" s="146" customFormat="1" ht="24.65" customHeight="1" x14ac:dyDescent="0.35">
      <c r="A65" s="121">
        <v>10</v>
      </c>
      <c r="B65" s="121" t="s">
        <v>48</v>
      </c>
      <c r="C65" s="121" t="s">
        <v>49</v>
      </c>
      <c r="D65" s="121">
        <v>68</v>
      </c>
      <c r="E65" s="130">
        <v>55</v>
      </c>
      <c r="F65" s="133">
        <f>D65/1.2-1</f>
        <v>55.666666666666671</v>
      </c>
      <c r="G65" s="132">
        <f t="shared" si="27"/>
        <v>74.181818181818187</v>
      </c>
      <c r="H65" s="133">
        <f t="shared" si="28"/>
        <v>16.7</v>
      </c>
      <c r="I65" s="130">
        <v>6</v>
      </c>
      <c r="J65" s="132">
        <f t="shared" si="29"/>
        <v>96.88181818181819</v>
      </c>
      <c r="K65" s="132">
        <f t="shared" si="30"/>
        <v>193.76363636363638</v>
      </c>
      <c r="L65" s="176">
        <v>60</v>
      </c>
      <c r="M65" s="149">
        <v>3</v>
      </c>
      <c r="N65" s="218">
        <f t="shared" si="31"/>
        <v>16</v>
      </c>
      <c r="O65" s="135">
        <f t="shared" si="32"/>
        <v>1088</v>
      </c>
      <c r="P65" s="95"/>
      <c r="Q65" s="95"/>
      <c r="R65" s="95"/>
      <c r="S65" s="146">
        <f>S59+S61</f>
        <v>47</v>
      </c>
      <c r="T65" s="103">
        <f>80-34</f>
        <v>46</v>
      </c>
      <c r="U65" s="205"/>
      <c r="V65" s="103"/>
      <c r="Z65" s="210"/>
      <c r="AA65" s="210"/>
      <c r="AB65" s="210"/>
      <c r="AC65" s="210"/>
      <c r="AD65" s="210"/>
      <c r="AF65" s="210"/>
      <c r="AG65" s="210"/>
      <c r="AH65" s="209"/>
      <c r="AI65" s="210"/>
      <c r="AJ65" s="102"/>
      <c r="AK65" s="102"/>
      <c r="AL65" s="102"/>
      <c r="AM65" s="102"/>
      <c r="AN65" s="103"/>
      <c r="AO65" s="103"/>
      <c r="AP65" s="103"/>
      <c r="AQ65" s="103"/>
    </row>
    <row r="66" spans="1:43" s="146" customFormat="1" ht="24.65" customHeight="1" x14ac:dyDescent="0.35">
      <c r="A66" s="121">
        <v>11</v>
      </c>
      <c r="B66" s="121" t="s">
        <v>50</v>
      </c>
      <c r="C66" s="121" t="s">
        <v>71</v>
      </c>
      <c r="D66" s="121">
        <v>69</v>
      </c>
      <c r="E66" s="130">
        <v>55</v>
      </c>
      <c r="F66" s="133">
        <f>D66/1.2-1</f>
        <v>56.5</v>
      </c>
      <c r="G66" s="132">
        <f t="shared" si="27"/>
        <v>75.272727272727266</v>
      </c>
      <c r="H66" s="133">
        <f t="shared" si="28"/>
        <v>16.95</v>
      </c>
      <c r="I66" s="130">
        <v>6</v>
      </c>
      <c r="J66" s="132">
        <f t="shared" si="29"/>
        <v>98.222727272727269</v>
      </c>
      <c r="K66" s="132">
        <f t="shared" si="30"/>
        <v>196.44545454545454</v>
      </c>
      <c r="L66" s="176">
        <v>60</v>
      </c>
      <c r="M66" s="149">
        <v>3</v>
      </c>
      <c r="N66" s="218">
        <f t="shared" si="31"/>
        <v>16</v>
      </c>
      <c r="O66" s="135">
        <f t="shared" si="32"/>
        <v>1104</v>
      </c>
      <c r="P66" s="95"/>
      <c r="Q66" s="95"/>
      <c r="R66" s="95"/>
      <c r="S66" s="103"/>
      <c r="T66" s="103"/>
      <c r="U66" s="205"/>
      <c r="V66" s="103"/>
      <c r="Z66" s="210"/>
      <c r="AA66" s="210"/>
      <c r="AB66" s="210"/>
      <c r="AC66" s="210"/>
      <c r="AD66" s="210"/>
      <c r="AF66" s="210"/>
      <c r="AG66" s="210"/>
      <c r="AH66" s="209"/>
      <c r="AI66" s="210"/>
      <c r="AJ66" s="102"/>
      <c r="AK66" s="102"/>
      <c r="AL66" s="102"/>
      <c r="AM66" s="102"/>
      <c r="AN66" s="103"/>
      <c r="AO66" s="103"/>
      <c r="AP66" s="103"/>
      <c r="AQ66" s="103"/>
    </row>
    <row r="67" spans="1:43" s="146" customFormat="1" ht="24.65" customHeight="1" x14ac:dyDescent="0.35">
      <c r="A67" s="121">
        <v>12</v>
      </c>
      <c r="B67" s="121" t="s">
        <v>53</v>
      </c>
      <c r="C67" s="121" t="s">
        <v>54</v>
      </c>
      <c r="D67" s="121">
        <v>67</v>
      </c>
      <c r="E67" s="130">
        <v>55</v>
      </c>
      <c r="F67" s="133">
        <f>D67/1.2</f>
        <v>55.833333333333336</v>
      </c>
      <c r="G67" s="132">
        <f t="shared" si="27"/>
        <v>73.090909090909093</v>
      </c>
      <c r="H67" s="133">
        <f>F67*0.3</f>
        <v>16.75</v>
      </c>
      <c r="I67" s="130">
        <v>5</v>
      </c>
      <c r="J67" s="132">
        <f>G67+H67+I67</f>
        <v>94.840909090909093</v>
      </c>
      <c r="K67" s="132">
        <f>J67*2</f>
        <v>189.68181818181819</v>
      </c>
      <c r="L67" s="176">
        <v>60</v>
      </c>
      <c r="M67" s="149">
        <v>3</v>
      </c>
      <c r="N67" s="218">
        <f t="shared" si="31"/>
        <v>16</v>
      </c>
      <c r="O67" s="135">
        <f t="shared" si="32"/>
        <v>1072</v>
      </c>
      <c r="P67" s="95"/>
      <c r="Q67" s="95"/>
      <c r="R67" s="95"/>
      <c r="S67" s="103"/>
      <c r="T67" s="103"/>
      <c r="U67" s="205" t="s">
        <v>225</v>
      </c>
      <c r="V67" s="103" t="s">
        <v>226</v>
      </c>
      <c r="Z67" s="210"/>
      <c r="AA67" s="210"/>
      <c r="AB67" s="210"/>
      <c r="AC67" s="210"/>
      <c r="AD67" s="210"/>
      <c r="AF67" s="210"/>
      <c r="AG67" s="210"/>
      <c r="AH67" s="209"/>
      <c r="AI67" s="210"/>
      <c r="AJ67" s="102"/>
      <c r="AK67" s="102"/>
      <c r="AL67" s="102"/>
      <c r="AM67" s="102"/>
      <c r="AN67" s="103"/>
      <c r="AO67" s="103"/>
      <c r="AP67" s="103"/>
      <c r="AQ67" s="103"/>
    </row>
    <row r="68" spans="1:43" s="146" customFormat="1" ht="24.65" customHeight="1" x14ac:dyDescent="0.35">
      <c r="A68" s="121">
        <v>13</v>
      </c>
      <c r="B68" s="121" t="s">
        <v>55</v>
      </c>
      <c r="C68" s="121" t="s">
        <v>56</v>
      </c>
      <c r="D68" s="121">
        <v>60</v>
      </c>
      <c r="E68" s="130">
        <v>55</v>
      </c>
      <c r="F68" s="133">
        <f>D68/1.2</f>
        <v>50</v>
      </c>
      <c r="G68" s="132">
        <f t="shared" si="27"/>
        <v>65.454545454545453</v>
      </c>
      <c r="H68" s="133">
        <f>F68*0.3</f>
        <v>15</v>
      </c>
      <c r="I68" s="130">
        <v>10</v>
      </c>
      <c r="J68" s="132">
        <f>G68+H68+I68</f>
        <v>90.454545454545453</v>
      </c>
      <c r="K68" s="132">
        <f>J68*2</f>
        <v>180.90909090909091</v>
      </c>
      <c r="L68" s="176">
        <v>60</v>
      </c>
      <c r="M68" s="149">
        <v>3</v>
      </c>
      <c r="N68" s="218">
        <f t="shared" si="31"/>
        <v>16</v>
      </c>
      <c r="O68" s="135">
        <f t="shared" si="32"/>
        <v>960</v>
      </c>
      <c r="P68" s="95"/>
      <c r="Q68" s="95"/>
      <c r="R68" s="95"/>
      <c r="S68" s="103"/>
      <c r="T68" s="103" t="s">
        <v>227</v>
      </c>
      <c r="U68" s="205">
        <v>46</v>
      </c>
      <c r="V68" s="103">
        <f>U68*40*1.5</f>
        <v>2760</v>
      </c>
      <c r="Z68" s="210"/>
      <c r="AA68" s="210"/>
      <c r="AB68" s="210"/>
      <c r="AC68" s="210"/>
      <c r="AD68" s="210"/>
      <c r="AF68" s="210"/>
      <c r="AG68" s="210"/>
      <c r="AH68" s="209"/>
      <c r="AI68" s="210"/>
      <c r="AJ68" s="102"/>
      <c r="AK68" s="102"/>
      <c r="AL68" s="102"/>
      <c r="AM68" s="102"/>
      <c r="AN68" s="103"/>
      <c r="AO68" s="103"/>
      <c r="AP68" s="103"/>
      <c r="AQ68" s="103"/>
    </row>
    <row r="69" spans="1:43" s="95" customFormat="1" ht="24.65" customHeight="1" x14ac:dyDescent="0.35">
      <c r="A69" s="120">
        <v>1.2</v>
      </c>
      <c r="B69" s="419" t="s">
        <v>214</v>
      </c>
      <c r="C69" s="419"/>
      <c r="D69" s="231">
        <f>SUM(D56:D68)</f>
        <v>533.79999999999995</v>
      </c>
      <c r="E69" s="179"/>
      <c r="F69" s="179">
        <f>SUM(F56:F68)</f>
        <v>592.34615384615381</v>
      </c>
      <c r="G69" s="179"/>
      <c r="H69" s="179"/>
      <c r="I69" s="179"/>
      <c r="J69" s="180"/>
      <c r="K69" s="179"/>
      <c r="L69" s="179"/>
      <c r="M69" s="179">
        <f t="shared" ref="M69" si="35">SUM(M56:M68)</f>
        <v>40</v>
      </c>
      <c r="N69" s="232">
        <f>SUM(N56:N68)</f>
        <v>327.16666666666663</v>
      </c>
      <c r="O69" s="233"/>
      <c r="S69" s="146">
        <f>N69+N85</f>
        <v>359.16666666666663</v>
      </c>
      <c r="T69" s="103" t="s">
        <v>228</v>
      </c>
      <c r="U69" s="205">
        <f>100-U68-34</f>
        <v>20</v>
      </c>
      <c r="V69" s="103">
        <f>U69*40*1.5</f>
        <v>1200</v>
      </c>
      <c r="W69" s="146"/>
      <c r="X69" s="146"/>
      <c r="Y69" s="146"/>
      <c r="Z69" s="210"/>
      <c r="AA69" s="210"/>
      <c r="AB69" s="210"/>
      <c r="AC69" s="210"/>
      <c r="AD69" s="210"/>
      <c r="AE69" s="146"/>
      <c r="AF69" s="210"/>
      <c r="AG69" s="210"/>
      <c r="AH69" s="209"/>
      <c r="AI69" s="210"/>
      <c r="AJ69" s="102"/>
      <c r="AK69" s="102"/>
      <c r="AL69" s="102"/>
      <c r="AM69" s="102"/>
      <c r="AN69" s="103"/>
      <c r="AO69" s="103"/>
      <c r="AP69" s="103"/>
      <c r="AQ69" s="103"/>
    </row>
    <row r="70" spans="1:43" s="95" customFormat="1" ht="24.65" customHeight="1" x14ac:dyDescent="0.35">
      <c r="A70" s="121">
        <v>1</v>
      </c>
      <c r="B70" s="121" t="s">
        <v>78</v>
      </c>
      <c r="C70" s="121" t="s">
        <v>79</v>
      </c>
      <c r="D70" s="121">
        <v>78</v>
      </c>
      <c r="E70" s="130">
        <v>55</v>
      </c>
      <c r="F70" s="133">
        <f t="shared" ref="F70:F79" si="36">D70/1.2-1</f>
        <v>64</v>
      </c>
      <c r="G70" s="132">
        <f t="shared" ref="G70:G80" si="37">D70*60/E70</f>
        <v>85.090909090909093</v>
      </c>
      <c r="H70" s="133">
        <f t="shared" ref="H70:H74" si="38">F70*0.3</f>
        <v>19.2</v>
      </c>
      <c r="I70" s="130">
        <v>6</v>
      </c>
      <c r="J70" s="132">
        <f t="shared" ref="J70:J74" si="39">G70+H70+I70</f>
        <v>110.2909090909091</v>
      </c>
      <c r="K70" s="132">
        <f t="shared" ref="K70:K74" si="40">J70*2</f>
        <v>220.58181818181819</v>
      </c>
      <c r="L70" s="153">
        <v>40</v>
      </c>
      <c r="M70" s="149">
        <v>6</v>
      </c>
      <c r="N70" s="234">
        <f>(3*60/L70)*2+(11*60/60)*2</f>
        <v>31</v>
      </c>
      <c r="O70" s="135">
        <f t="shared" si="32"/>
        <v>2418</v>
      </c>
      <c r="S70" s="235">
        <f>N81+N92</f>
        <v>333</v>
      </c>
      <c r="T70" s="103"/>
      <c r="U70" s="205"/>
      <c r="V70" s="103"/>
      <c r="W70" s="146"/>
      <c r="X70" s="146"/>
      <c r="Y70" s="146"/>
      <c r="Z70" s="210"/>
      <c r="AA70" s="210"/>
      <c r="AB70" s="210"/>
      <c r="AC70" s="210"/>
      <c r="AD70" s="210"/>
      <c r="AE70" s="146"/>
      <c r="AF70" s="210"/>
      <c r="AG70" s="210"/>
      <c r="AH70" s="209"/>
      <c r="AI70" s="210"/>
      <c r="AJ70" s="102"/>
      <c r="AK70" s="102"/>
      <c r="AL70" s="102"/>
      <c r="AM70" s="102"/>
      <c r="AN70" s="103"/>
      <c r="AO70" s="103"/>
      <c r="AP70" s="103"/>
      <c r="AQ70" s="103"/>
    </row>
    <row r="71" spans="1:43" s="95" customFormat="1" ht="31" x14ac:dyDescent="0.35">
      <c r="A71" s="121">
        <v>2</v>
      </c>
      <c r="B71" s="121" t="s">
        <v>80</v>
      </c>
      <c r="C71" s="121" t="s">
        <v>180</v>
      </c>
      <c r="D71" s="121">
        <v>64.5</v>
      </c>
      <c r="E71" s="130">
        <v>55</v>
      </c>
      <c r="F71" s="133">
        <f t="shared" si="36"/>
        <v>52.75</v>
      </c>
      <c r="G71" s="132">
        <f t="shared" si="37"/>
        <v>70.36363636363636</v>
      </c>
      <c r="H71" s="133">
        <f t="shared" si="38"/>
        <v>15.824999999999999</v>
      </c>
      <c r="I71" s="130">
        <v>6</v>
      </c>
      <c r="J71" s="132">
        <f t="shared" si="39"/>
        <v>92.188636363636363</v>
      </c>
      <c r="K71" s="132">
        <f t="shared" si="40"/>
        <v>184.37727272727273</v>
      </c>
      <c r="L71" s="153">
        <v>40</v>
      </c>
      <c r="M71" s="149">
        <v>5</v>
      </c>
      <c r="N71" s="234">
        <f>(3*60/L71)*2+(11*60/60)*2</f>
        <v>31</v>
      </c>
      <c r="O71" s="135">
        <f t="shared" si="32"/>
        <v>1999.5</v>
      </c>
      <c r="S71" s="103"/>
      <c r="T71" s="103"/>
      <c r="U71" s="205"/>
      <c r="V71" s="103"/>
      <c r="W71" s="146"/>
      <c r="X71" s="146"/>
      <c r="Y71" s="146"/>
      <c r="Z71" s="210"/>
      <c r="AA71" s="210"/>
      <c r="AB71" s="210"/>
      <c r="AC71" s="210"/>
      <c r="AD71" s="210"/>
      <c r="AE71" s="146"/>
      <c r="AF71" s="210"/>
      <c r="AG71" s="210"/>
      <c r="AH71" s="209"/>
      <c r="AI71" s="210"/>
      <c r="AJ71" s="102"/>
      <c r="AK71" s="102"/>
      <c r="AL71" s="102"/>
      <c r="AM71" s="102"/>
      <c r="AN71" s="103"/>
      <c r="AO71" s="103"/>
      <c r="AP71" s="103"/>
      <c r="AQ71" s="103"/>
    </row>
    <row r="72" spans="1:43" s="95" customFormat="1" ht="31" x14ac:dyDescent="0.35">
      <c r="A72" s="121">
        <v>3</v>
      </c>
      <c r="B72" s="121" t="s">
        <v>81</v>
      </c>
      <c r="C72" s="121" t="s">
        <v>181</v>
      </c>
      <c r="D72" s="121">
        <v>40</v>
      </c>
      <c r="E72" s="130">
        <v>55</v>
      </c>
      <c r="F72" s="133">
        <f t="shared" si="36"/>
        <v>32.333333333333336</v>
      </c>
      <c r="G72" s="132">
        <f t="shared" si="37"/>
        <v>43.636363636363633</v>
      </c>
      <c r="H72" s="133">
        <f t="shared" si="38"/>
        <v>9.7000000000000011</v>
      </c>
      <c r="I72" s="130">
        <v>6</v>
      </c>
      <c r="J72" s="132">
        <f t="shared" si="39"/>
        <v>59.336363636363636</v>
      </c>
      <c r="K72" s="132">
        <f t="shared" si="40"/>
        <v>118.67272727272727</v>
      </c>
      <c r="L72" s="167">
        <v>60</v>
      </c>
      <c r="M72" s="149">
        <v>2</v>
      </c>
      <c r="N72" s="236">
        <f>(3*60/L72)*2+(11*60/120)*2</f>
        <v>17</v>
      </c>
      <c r="O72" s="135">
        <f t="shared" si="32"/>
        <v>680</v>
      </c>
      <c r="S72" s="103"/>
      <c r="T72" s="103"/>
      <c r="U72" s="205"/>
      <c r="V72" s="103"/>
      <c r="W72" s="146"/>
      <c r="X72" s="146"/>
      <c r="Y72" s="146"/>
      <c r="Z72" s="210"/>
      <c r="AA72" s="210"/>
      <c r="AB72" s="210"/>
      <c r="AC72" s="210"/>
      <c r="AD72" s="210"/>
      <c r="AE72" s="146"/>
      <c r="AF72" s="210"/>
      <c r="AG72" s="210"/>
      <c r="AH72" s="209"/>
      <c r="AI72" s="210"/>
      <c r="AJ72" s="102"/>
      <c r="AK72" s="102"/>
      <c r="AL72" s="102"/>
      <c r="AM72" s="102"/>
      <c r="AN72" s="103"/>
      <c r="AO72" s="103"/>
      <c r="AP72" s="103"/>
      <c r="AQ72" s="103"/>
    </row>
    <row r="73" spans="1:43" s="95" customFormat="1" ht="15.5" x14ac:dyDescent="0.35">
      <c r="A73" s="121">
        <v>4</v>
      </c>
      <c r="B73" s="121" t="s">
        <v>82</v>
      </c>
      <c r="C73" s="121" t="s">
        <v>182</v>
      </c>
      <c r="D73" s="121">
        <v>50</v>
      </c>
      <c r="E73" s="130">
        <v>55</v>
      </c>
      <c r="F73" s="133">
        <f t="shared" si="36"/>
        <v>40.666666666666671</v>
      </c>
      <c r="G73" s="132">
        <f t="shared" si="37"/>
        <v>54.545454545454547</v>
      </c>
      <c r="H73" s="133">
        <f t="shared" si="38"/>
        <v>12.200000000000001</v>
      </c>
      <c r="I73" s="130">
        <v>6</v>
      </c>
      <c r="J73" s="132">
        <f t="shared" si="39"/>
        <v>72.74545454545455</v>
      </c>
      <c r="K73" s="132">
        <f t="shared" si="40"/>
        <v>145.4909090909091</v>
      </c>
      <c r="L73" s="153">
        <v>40</v>
      </c>
      <c r="M73" s="149">
        <v>4</v>
      </c>
      <c r="N73" s="234">
        <f>(3*60/L73)*2+(11*60/60)*2</f>
        <v>31</v>
      </c>
      <c r="O73" s="135">
        <f t="shared" si="32"/>
        <v>1550</v>
      </c>
      <c r="S73" s="103"/>
      <c r="T73" s="103"/>
      <c r="U73" s="205"/>
      <c r="V73" s="103"/>
      <c r="W73" s="146"/>
      <c r="X73" s="146"/>
      <c r="Y73" s="146"/>
      <c r="Z73" s="210"/>
      <c r="AA73" s="210"/>
      <c r="AB73" s="210"/>
      <c r="AC73" s="210"/>
      <c r="AD73" s="210"/>
      <c r="AE73" s="146"/>
      <c r="AF73" s="210"/>
      <c r="AG73" s="210"/>
      <c r="AH73" s="209"/>
      <c r="AI73" s="210"/>
      <c r="AJ73" s="102"/>
      <c r="AK73" s="102"/>
      <c r="AL73" s="102"/>
      <c r="AM73" s="102"/>
      <c r="AN73" s="103"/>
      <c r="AO73" s="103"/>
      <c r="AP73" s="103"/>
      <c r="AQ73" s="103"/>
    </row>
    <row r="74" spans="1:43" s="95" customFormat="1" ht="15.5" x14ac:dyDescent="0.35">
      <c r="A74" s="121">
        <v>5</v>
      </c>
      <c r="B74" s="121" t="s">
        <v>83</v>
      </c>
      <c r="C74" s="121" t="s">
        <v>183</v>
      </c>
      <c r="D74" s="121">
        <v>78</v>
      </c>
      <c r="E74" s="130">
        <v>55</v>
      </c>
      <c r="F74" s="133">
        <f t="shared" si="36"/>
        <v>64</v>
      </c>
      <c r="G74" s="132">
        <f t="shared" si="37"/>
        <v>85.090909090909093</v>
      </c>
      <c r="H74" s="133">
        <f t="shared" si="38"/>
        <v>19.2</v>
      </c>
      <c r="I74" s="130">
        <v>6</v>
      </c>
      <c r="J74" s="132">
        <f t="shared" si="39"/>
        <v>110.2909090909091</v>
      </c>
      <c r="K74" s="132">
        <f t="shared" si="40"/>
        <v>220.58181818181819</v>
      </c>
      <c r="L74" s="167">
        <v>60</v>
      </c>
      <c r="M74" s="149">
        <v>4</v>
      </c>
      <c r="N74" s="236">
        <f>(3*60/L74)*2+(11*60/120)*2</f>
        <v>17</v>
      </c>
      <c r="O74" s="135">
        <f t="shared" si="32"/>
        <v>1326</v>
      </c>
      <c r="S74" s="103"/>
      <c r="T74" s="103"/>
      <c r="U74" s="205"/>
      <c r="V74" s="103"/>
      <c r="W74" s="146"/>
      <c r="X74" s="146"/>
      <c r="Y74" s="146"/>
      <c r="Z74" s="210"/>
      <c r="AA74" s="210"/>
      <c r="AB74" s="210"/>
      <c r="AC74" s="210"/>
      <c r="AD74" s="210"/>
      <c r="AE74" s="146"/>
      <c r="AF74" s="210"/>
      <c r="AG74" s="210"/>
      <c r="AH74" s="209"/>
      <c r="AI74" s="210"/>
      <c r="AJ74" s="102"/>
      <c r="AK74" s="102"/>
      <c r="AL74" s="102"/>
      <c r="AM74" s="102"/>
      <c r="AN74" s="103"/>
      <c r="AO74" s="103"/>
      <c r="AP74" s="103"/>
      <c r="AQ74" s="103"/>
    </row>
    <row r="75" spans="1:43" s="95" customFormat="1" ht="16.5" x14ac:dyDescent="0.35">
      <c r="A75" s="121">
        <v>6</v>
      </c>
      <c r="B75" s="121" t="s">
        <v>93</v>
      </c>
      <c r="C75" s="121" t="s">
        <v>94</v>
      </c>
      <c r="D75" s="121">
        <v>36.5</v>
      </c>
      <c r="E75" s="130">
        <v>55</v>
      </c>
      <c r="F75" s="133">
        <f t="shared" si="36"/>
        <v>29.416666666666668</v>
      </c>
      <c r="G75" s="132">
        <f t="shared" si="37"/>
        <v>39.81818181818182</v>
      </c>
      <c r="H75" s="133">
        <f>F75*0.3</f>
        <v>8.8249999999999993</v>
      </c>
      <c r="I75" s="130">
        <v>6</v>
      </c>
      <c r="J75" s="132">
        <f>G75+H75+I75</f>
        <v>54.643181818181816</v>
      </c>
      <c r="K75" s="132">
        <f>J75*2</f>
        <v>109.28636363636363</v>
      </c>
      <c r="L75" s="167">
        <v>60</v>
      </c>
      <c r="M75" s="237">
        <v>2</v>
      </c>
      <c r="N75" s="236">
        <f>(3*60/L75)*2+(11*60/120)*2</f>
        <v>17</v>
      </c>
      <c r="O75" s="135">
        <f t="shared" si="32"/>
        <v>620.5</v>
      </c>
      <c r="S75" s="103"/>
      <c r="T75" s="103"/>
      <c r="U75" s="205"/>
      <c r="V75" s="103"/>
      <c r="W75" s="146"/>
      <c r="X75" s="146"/>
      <c r="Y75" s="146"/>
      <c r="Z75" s="210"/>
      <c r="AA75" s="210"/>
      <c r="AB75" s="210"/>
      <c r="AC75" s="210"/>
      <c r="AD75" s="210"/>
      <c r="AE75" s="146"/>
      <c r="AF75" s="210"/>
      <c r="AG75" s="210"/>
      <c r="AH75" s="209"/>
      <c r="AI75" s="210"/>
      <c r="AJ75" s="102"/>
      <c r="AK75" s="102"/>
      <c r="AL75" s="102"/>
      <c r="AM75" s="102"/>
      <c r="AN75" s="103"/>
      <c r="AO75" s="103"/>
      <c r="AP75" s="103"/>
      <c r="AQ75" s="103"/>
    </row>
    <row r="76" spans="1:43" s="95" customFormat="1" ht="15.5" x14ac:dyDescent="0.35">
      <c r="A76" s="121">
        <v>7</v>
      </c>
      <c r="B76" s="121" t="s">
        <v>84</v>
      </c>
      <c r="C76" s="121" t="s">
        <v>184</v>
      </c>
      <c r="D76" s="121">
        <v>35</v>
      </c>
      <c r="E76" s="130">
        <v>55</v>
      </c>
      <c r="F76" s="133">
        <f t="shared" si="36"/>
        <v>28.166666666666668</v>
      </c>
      <c r="G76" s="132">
        <f t="shared" si="37"/>
        <v>38.18181818181818</v>
      </c>
      <c r="H76" s="133">
        <f t="shared" ref="H76:H77" si="41">F76*0.3</f>
        <v>8.4499999999999993</v>
      </c>
      <c r="I76" s="130">
        <v>6</v>
      </c>
      <c r="J76" s="132">
        <f t="shared" ref="J76:J77" si="42">G76+H76+I76</f>
        <v>52.631818181818176</v>
      </c>
      <c r="K76" s="132">
        <f t="shared" ref="K76:K77" si="43">J76*2</f>
        <v>105.26363636363635</v>
      </c>
      <c r="L76" s="167">
        <v>60</v>
      </c>
      <c r="M76" s="149">
        <v>2</v>
      </c>
      <c r="N76" s="236">
        <f>(3*60/L76)*2+(11*60/120)*2</f>
        <v>17</v>
      </c>
      <c r="O76" s="135">
        <f t="shared" si="32"/>
        <v>595</v>
      </c>
      <c r="S76" s="103"/>
      <c r="T76" s="103"/>
      <c r="U76" s="205"/>
      <c r="V76" s="103"/>
      <c r="W76" s="146"/>
      <c r="X76" s="146"/>
      <c r="Y76" s="146"/>
      <c r="Z76" s="210"/>
      <c r="AA76" s="210"/>
      <c r="AB76" s="210"/>
      <c r="AC76" s="210"/>
      <c r="AD76" s="210"/>
      <c r="AE76" s="146"/>
      <c r="AF76" s="210"/>
      <c r="AG76" s="210"/>
      <c r="AH76" s="209"/>
      <c r="AI76" s="210"/>
      <c r="AJ76" s="102"/>
      <c r="AK76" s="102"/>
      <c r="AL76" s="102"/>
      <c r="AM76" s="102"/>
      <c r="AN76" s="103"/>
      <c r="AO76" s="103"/>
      <c r="AP76" s="103"/>
      <c r="AQ76" s="103"/>
    </row>
    <row r="77" spans="1:43" s="95" customFormat="1" ht="15.5" x14ac:dyDescent="0.35">
      <c r="A77" s="121">
        <v>8</v>
      </c>
      <c r="B77" s="121" t="s">
        <v>185</v>
      </c>
      <c r="C77" s="121" t="s">
        <v>186</v>
      </c>
      <c r="D77" s="121">
        <v>40</v>
      </c>
      <c r="E77" s="130">
        <v>55</v>
      </c>
      <c r="F77" s="131">
        <f t="shared" si="36"/>
        <v>32.333333333333336</v>
      </c>
      <c r="G77" s="132">
        <f t="shared" si="37"/>
        <v>43.636363636363633</v>
      </c>
      <c r="H77" s="133">
        <f t="shared" si="41"/>
        <v>9.7000000000000011</v>
      </c>
      <c r="I77" s="130">
        <v>6</v>
      </c>
      <c r="J77" s="132">
        <f t="shared" si="42"/>
        <v>59.336363636363636</v>
      </c>
      <c r="K77" s="132">
        <f t="shared" si="43"/>
        <v>118.67272727272727</v>
      </c>
      <c r="L77" s="167">
        <v>60</v>
      </c>
      <c r="M77" s="177">
        <v>2</v>
      </c>
      <c r="N77" s="176">
        <f>(4*60/L77)*2+(8*60/120)*2</f>
        <v>16</v>
      </c>
      <c r="O77" s="135">
        <f t="shared" si="32"/>
        <v>640</v>
      </c>
      <c r="S77" s="103"/>
      <c r="T77" s="103"/>
      <c r="U77" s="205"/>
      <c r="V77" s="103"/>
      <c r="W77" s="146"/>
      <c r="X77" s="146"/>
      <c r="Y77" s="146"/>
      <c r="Z77" s="210"/>
      <c r="AA77" s="210"/>
      <c r="AB77" s="210"/>
      <c r="AC77" s="210"/>
      <c r="AD77" s="210"/>
      <c r="AE77" s="146"/>
      <c r="AF77" s="210"/>
      <c r="AG77" s="210"/>
      <c r="AH77" s="209"/>
      <c r="AI77" s="210"/>
      <c r="AJ77" s="102"/>
      <c r="AK77" s="102"/>
      <c r="AL77" s="102"/>
      <c r="AM77" s="102"/>
      <c r="AN77" s="103"/>
      <c r="AO77" s="103"/>
      <c r="AP77" s="103"/>
      <c r="AQ77" s="103"/>
    </row>
    <row r="78" spans="1:43" s="95" customFormat="1" ht="15.5" x14ac:dyDescent="0.35">
      <c r="A78" s="121">
        <v>9</v>
      </c>
      <c r="B78" s="121" t="s">
        <v>102</v>
      </c>
      <c r="C78" s="121" t="s">
        <v>103</v>
      </c>
      <c r="D78" s="121">
        <v>25</v>
      </c>
      <c r="E78" s="130">
        <v>55</v>
      </c>
      <c r="F78" s="131">
        <f t="shared" si="36"/>
        <v>19.833333333333336</v>
      </c>
      <c r="G78" s="132">
        <f t="shared" si="37"/>
        <v>27.272727272727273</v>
      </c>
      <c r="H78" s="133">
        <f>F78*0.3</f>
        <v>5.95</v>
      </c>
      <c r="I78" s="130">
        <v>6</v>
      </c>
      <c r="J78" s="132">
        <f>G78+H78+I78</f>
        <v>39.222727272727276</v>
      </c>
      <c r="K78" s="132">
        <f>J78*2</f>
        <v>78.445454545454552</v>
      </c>
      <c r="L78" s="153">
        <v>40</v>
      </c>
      <c r="M78" s="154">
        <v>2</v>
      </c>
      <c r="N78" s="153">
        <f>(3*60/L78)*2+(11*60/60)*2</f>
        <v>31</v>
      </c>
      <c r="O78" s="135">
        <f t="shared" si="32"/>
        <v>775</v>
      </c>
      <c r="S78" s="103" t="s">
        <v>229</v>
      </c>
      <c r="T78" s="103">
        <f>SUM(D56:D64)+35+D71+D73+14+18</f>
        <v>451.29999999999995</v>
      </c>
      <c r="U78" s="205"/>
      <c r="V78" s="103"/>
      <c r="W78" s="146"/>
      <c r="X78" s="146"/>
      <c r="Y78" s="146"/>
      <c r="Z78" s="210"/>
      <c r="AA78" s="210"/>
      <c r="AB78" s="210"/>
      <c r="AC78" s="210"/>
      <c r="AD78" s="210"/>
      <c r="AE78" s="146"/>
      <c r="AF78" s="210"/>
      <c r="AG78" s="210"/>
      <c r="AH78" s="209"/>
      <c r="AI78" s="210"/>
      <c r="AJ78" s="102"/>
      <c r="AK78" s="102"/>
      <c r="AL78" s="102"/>
      <c r="AM78" s="102"/>
      <c r="AN78" s="103"/>
      <c r="AO78" s="103"/>
      <c r="AP78" s="103"/>
      <c r="AQ78" s="103"/>
    </row>
    <row r="79" spans="1:43" s="95" customFormat="1" ht="15.5" x14ac:dyDescent="0.35">
      <c r="A79" s="121">
        <v>10</v>
      </c>
      <c r="B79" s="121" t="s">
        <v>104</v>
      </c>
      <c r="C79" s="121" t="s">
        <v>105</v>
      </c>
      <c r="D79" s="121">
        <v>30</v>
      </c>
      <c r="E79" s="130">
        <v>55</v>
      </c>
      <c r="F79" s="131">
        <f t="shared" si="36"/>
        <v>24</v>
      </c>
      <c r="G79" s="132">
        <f t="shared" si="37"/>
        <v>32.727272727272727</v>
      </c>
      <c r="H79" s="133">
        <f>F79*0.3</f>
        <v>7.1999999999999993</v>
      </c>
      <c r="I79" s="130">
        <v>6</v>
      </c>
      <c r="J79" s="132">
        <f>G79+H79+I79</f>
        <v>45.927272727272722</v>
      </c>
      <c r="K79" s="132">
        <f>J79*2</f>
        <v>91.854545454545445</v>
      </c>
      <c r="L79" s="167">
        <v>60</v>
      </c>
      <c r="M79" s="168">
        <v>2</v>
      </c>
      <c r="N79" s="167">
        <f>(3*60/L79)*2+(11*60/120)*2</f>
        <v>17</v>
      </c>
      <c r="O79" s="135">
        <f t="shared" si="32"/>
        <v>510</v>
      </c>
      <c r="S79" s="103" t="s">
        <v>230</v>
      </c>
      <c r="T79" s="146">
        <f>D69+D81+D85+D92</f>
        <v>1368.8</v>
      </c>
      <c r="U79" s="205"/>
      <c r="V79" s="103"/>
      <c r="W79" s="146"/>
      <c r="X79" s="146"/>
      <c r="Y79" s="146"/>
      <c r="Z79" s="210"/>
      <c r="AA79" s="210"/>
      <c r="AB79" s="210"/>
      <c r="AC79" s="210"/>
      <c r="AD79" s="210"/>
      <c r="AE79" s="146"/>
      <c r="AF79" s="210"/>
      <c r="AG79" s="210"/>
      <c r="AH79" s="209"/>
      <c r="AI79" s="210"/>
      <c r="AJ79" s="102"/>
      <c r="AK79" s="102"/>
      <c r="AL79" s="102"/>
      <c r="AM79" s="102"/>
      <c r="AN79" s="103"/>
      <c r="AO79" s="103"/>
      <c r="AP79" s="103"/>
      <c r="AQ79" s="103"/>
    </row>
    <row r="80" spans="1:43" s="95" customFormat="1" ht="31" x14ac:dyDescent="0.35">
      <c r="A80" s="121">
        <v>11</v>
      </c>
      <c r="B80" s="121" t="s">
        <v>187</v>
      </c>
      <c r="C80" s="121" t="s">
        <v>188</v>
      </c>
      <c r="D80" s="121">
        <v>24</v>
      </c>
      <c r="E80" s="130">
        <v>55</v>
      </c>
      <c r="F80" s="131">
        <f>D80/1.5-1</f>
        <v>15</v>
      </c>
      <c r="G80" s="132">
        <f t="shared" si="37"/>
        <v>26.181818181818183</v>
      </c>
      <c r="H80" s="133">
        <f>F80*0.3</f>
        <v>4.5</v>
      </c>
      <c r="I80" s="130">
        <v>6</v>
      </c>
      <c r="J80" s="132">
        <f>G80+H80+I80</f>
        <v>36.681818181818187</v>
      </c>
      <c r="K80" s="132">
        <f>J80*2</f>
        <v>73.363636363636374</v>
      </c>
      <c r="L80" s="153">
        <v>40</v>
      </c>
      <c r="M80" s="168">
        <v>2</v>
      </c>
      <c r="N80" s="167">
        <f>(3*60/L80)*2+(3*60/120)*2</f>
        <v>12</v>
      </c>
      <c r="O80" s="135">
        <f t="shared" si="32"/>
        <v>288</v>
      </c>
      <c r="S80" s="103"/>
      <c r="T80" s="103"/>
      <c r="U80" s="205"/>
      <c r="V80" s="103"/>
      <c r="W80" s="146"/>
      <c r="X80" s="146"/>
      <c r="Y80" s="146"/>
      <c r="Z80" s="210"/>
      <c r="AA80" s="210"/>
      <c r="AB80" s="210"/>
      <c r="AC80" s="210"/>
      <c r="AD80" s="210"/>
      <c r="AE80" s="146"/>
      <c r="AF80" s="210"/>
      <c r="AG80" s="210"/>
      <c r="AH80" s="209"/>
      <c r="AI80" s="210"/>
      <c r="AJ80" s="102"/>
      <c r="AK80" s="102"/>
      <c r="AL80" s="102"/>
      <c r="AM80" s="102"/>
      <c r="AN80" s="103"/>
      <c r="AO80" s="103"/>
      <c r="AP80" s="103"/>
      <c r="AQ80" s="103"/>
    </row>
    <row r="81" spans="1:43" s="95" customFormat="1" ht="18" x14ac:dyDescent="0.35">
      <c r="A81" s="121" t="s">
        <v>26</v>
      </c>
      <c r="B81" s="434" t="s">
        <v>216</v>
      </c>
      <c r="C81" s="434"/>
      <c r="D81" s="188">
        <f>SUM(D70:D80)</f>
        <v>501</v>
      </c>
      <c r="E81" s="156"/>
      <c r="F81" s="188">
        <f>SUM(F70:F80)</f>
        <v>402.5</v>
      </c>
      <c r="G81" s="180"/>
      <c r="H81" s="188"/>
      <c r="I81" s="189"/>
      <c r="J81" s="180"/>
      <c r="K81" s="180"/>
      <c r="L81" s="190"/>
      <c r="M81" s="188">
        <f>SUM(M70:M80)</f>
        <v>33</v>
      </c>
      <c r="N81" s="188">
        <f>SUM(N70:N80)</f>
        <v>237</v>
      </c>
      <c r="O81" s="238"/>
      <c r="S81" s="103"/>
      <c r="T81" s="103"/>
      <c r="U81" s="205"/>
      <c r="V81" s="103"/>
      <c r="W81" s="146"/>
      <c r="X81" s="146"/>
      <c r="Y81" s="146"/>
      <c r="Z81" s="210"/>
      <c r="AA81" s="210"/>
      <c r="AB81" s="210"/>
      <c r="AC81" s="210"/>
      <c r="AD81" s="210"/>
      <c r="AE81" s="146"/>
      <c r="AF81" s="210"/>
      <c r="AG81" s="210"/>
      <c r="AH81" s="209"/>
      <c r="AI81" s="210"/>
      <c r="AJ81" s="102"/>
      <c r="AK81" s="102"/>
      <c r="AL81" s="102"/>
      <c r="AM81" s="102"/>
      <c r="AN81" s="103"/>
      <c r="AO81" s="103"/>
      <c r="AP81" s="103"/>
      <c r="AQ81" s="103"/>
    </row>
    <row r="82" spans="1:43" s="95" customFormat="1" ht="18" x14ac:dyDescent="0.35">
      <c r="A82" s="120">
        <v>2.1</v>
      </c>
      <c r="B82" s="419" t="s">
        <v>76</v>
      </c>
      <c r="C82" s="419"/>
      <c r="D82" s="196"/>
      <c r="E82" s="130"/>
      <c r="F82" s="133"/>
      <c r="G82" s="132"/>
      <c r="H82" s="133"/>
      <c r="I82" s="130"/>
      <c r="J82" s="132"/>
      <c r="K82" s="132"/>
      <c r="L82" s="135"/>
      <c r="M82" s="237"/>
      <c r="N82" s="216"/>
      <c r="O82" s="239"/>
      <c r="S82" s="103"/>
      <c r="T82" s="103"/>
      <c r="U82" s="205"/>
      <c r="V82" s="103"/>
      <c r="W82" s="146"/>
      <c r="X82" s="146"/>
      <c r="Y82" s="146"/>
      <c r="Z82" s="210"/>
      <c r="AA82" s="210"/>
      <c r="AB82" s="210"/>
      <c r="AC82" s="210"/>
      <c r="AD82" s="210"/>
      <c r="AE82" s="146"/>
      <c r="AF82" s="210"/>
      <c r="AG82" s="210"/>
      <c r="AH82" s="209"/>
      <c r="AI82" s="210"/>
      <c r="AJ82" s="102"/>
      <c r="AK82" s="102"/>
      <c r="AL82" s="102"/>
      <c r="AM82" s="102"/>
      <c r="AN82" s="103"/>
      <c r="AO82" s="103"/>
      <c r="AP82" s="103"/>
      <c r="AQ82" s="103"/>
    </row>
    <row r="83" spans="1:43" s="95" customFormat="1" ht="15.5" x14ac:dyDescent="0.35">
      <c r="A83" s="240">
        <v>1</v>
      </c>
      <c r="B83" s="121" t="s">
        <v>52</v>
      </c>
      <c r="C83" s="121" t="s">
        <v>74</v>
      </c>
      <c r="D83" s="121">
        <v>41</v>
      </c>
      <c r="E83" s="130">
        <v>55</v>
      </c>
      <c r="F83" s="133">
        <f>D83/1.2</f>
        <v>34.166666666666671</v>
      </c>
      <c r="G83" s="132">
        <f>D83*60/E83</f>
        <v>44.727272727272727</v>
      </c>
      <c r="H83" s="133">
        <f t="shared" ref="H83:H84" si="44">F83*0.3</f>
        <v>10.250000000000002</v>
      </c>
      <c r="I83" s="130">
        <v>5</v>
      </c>
      <c r="J83" s="132">
        <f t="shared" ref="J83:J84" si="45">G83+H83+I83</f>
        <v>59.977272727272727</v>
      </c>
      <c r="K83" s="132">
        <f t="shared" ref="K83:K84" si="46">J83*2</f>
        <v>119.95454545454545</v>
      </c>
      <c r="L83" s="176">
        <v>60</v>
      </c>
      <c r="M83" s="149">
        <v>2</v>
      </c>
      <c r="N83" s="241">
        <f>(4*60/L83)*2+(8*60/120)*2</f>
        <v>16</v>
      </c>
      <c r="O83" s="135">
        <f t="shared" ref="O83:O84" si="47">D83*N83</f>
        <v>656</v>
      </c>
      <c r="S83" s="103"/>
      <c r="T83" s="103"/>
      <c r="U83" s="205"/>
      <c r="V83" s="103"/>
      <c r="W83" s="146"/>
      <c r="X83" s="146"/>
      <c r="Y83" s="146"/>
      <c r="Z83" s="210"/>
      <c r="AA83" s="210"/>
      <c r="AB83" s="210"/>
      <c r="AC83" s="210"/>
      <c r="AD83" s="210"/>
      <c r="AE83" s="146"/>
      <c r="AF83" s="210"/>
      <c r="AG83" s="210"/>
      <c r="AH83" s="209"/>
      <c r="AI83" s="210"/>
      <c r="AJ83" s="102"/>
      <c r="AK83" s="102"/>
      <c r="AL83" s="102"/>
      <c r="AM83" s="102"/>
      <c r="AN83" s="103"/>
      <c r="AO83" s="103"/>
      <c r="AP83" s="103"/>
      <c r="AQ83" s="103"/>
    </row>
    <row r="84" spans="1:43" s="95" customFormat="1" ht="15.5" x14ac:dyDescent="0.35">
      <c r="A84" s="240">
        <v>2</v>
      </c>
      <c r="B84" s="121" t="s">
        <v>57</v>
      </c>
      <c r="C84" s="121" t="s">
        <v>58</v>
      </c>
      <c r="D84" s="121">
        <v>30</v>
      </c>
      <c r="E84" s="130">
        <v>55</v>
      </c>
      <c r="F84" s="133">
        <f>D84/1.2</f>
        <v>25</v>
      </c>
      <c r="G84" s="132">
        <f>D84*60/E84</f>
        <v>32.727272727272727</v>
      </c>
      <c r="H84" s="133">
        <f t="shared" si="44"/>
        <v>7.5</v>
      </c>
      <c r="I84" s="130">
        <v>10</v>
      </c>
      <c r="J84" s="132">
        <f t="shared" si="45"/>
        <v>50.227272727272727</v>
      </c>
      <c r="K84" s="132">
        <f t="shared" si="46"/>
        <v>100.45454545454545</v>
      </c>
      <c r="L84" s="176">
        <v>60</v>
      </c>
      <c r="M84" s="149">
        <v>2</v>
      </c>
      <c r="N84" s="241">
        <f>(4*60/L84)*2+(8*60/120)*2</f>
        <v>16</v>
      </c>
      <c r="O84" s="135">
        <f t="shared" si="47"/>
        <v>480</v>
      </c>
      <c r="S84" s="103"/>
      <c r="T84" s="103"/>
      <c r="U84" s="205"/>
      <c r="V84" s="103"/>
      <c r="W84" s="146"/>
      <c r="X84" s="146"/>
      <c r="Y84" s="146"/>
      <c r="Z84" s="210"/>
      <c r="AA84" s="210"/>
      <c r="AB84" s="210"/>
      <c r="AC84" s="210"/>
      <c r="AD84" s="210"/>
      <c r="AE84" s="146"/>
      <c r="AF84" s="210"/>
      <c r="AG84" s="210"/>
      <c r="AH84" s="209"/>
      <c r="AI84" s="210"/>
      <c r="AJ84" s="102"/>
      <c r="AK84" s="102"/>
      <c r="AL84" s="102"/>
      <c r="AM84" s="102"/>
      <c r="AN84" s="103"/>
      <c r="AO84" s="103"/>
      <c r="AP84" s="103"/>
      <c r="AQ84" s="103"/>
    </row>
    <row r="85" spans="1:43" s="95" customFormat="1" ht="17.5" x14ac:dyDescent="0.35">
      <c r="A85" s="129">
        <v>2.2000000000000002</v>
      </c>
      <c r="B85" s="432" t="s">
        <v>217</v>
      </c>
      <c r="C85" s="432"/>
      <c r="D85" s="188">
        <f>SUM(D83:D84)</f>
        <v>71</v>
      </c>
      <c r="E85" s="189"/>
      <c r="F85" s="188">
        <f>SUM(F83:F84)</f>
        <v>59.166666666666671</v>
      </c>
      <c r="G85" s="180"/>
      <c r="H85" s="188"/>
      <c r="I85" s="189"/>
      <c r="J85" s="180"/>
      <c r="K85" s="180"/>
      <c r="L85" s="190"/>
      <c r="M85" s="188">
        <f t="shared" ref="M85" si="48">SUM(M83:M84)</f>
        <v>4</v>
      </c>
      <c r="N85" s="242">
        <f>SUM(N83:N84)</f>
        <v>32</v>
      </c>
      <c r="O85" s="238"/>
      <c r="P85" s="243">
        <f>N69+N85</f>
        <v>359.16666666666663</v>
      </c>
      <c r="S85" s="103"/>
      <c r="T85" s="103"/>
      <c r="U85" s="205" t="s">
        <v>231</v>
      </c>
      <c r="V85" s="103" t="s">
        <v>232</v>
      </c>
      <c r="W85" s="146"/>
      <c r="X85" s="146"/>
      <c r="Y85" s="146"/>
      <c r="Z85" s="210"/>
      <c r="AA85" s="210"/>
      <c r="AB85" s="210"/>
      <c r="AC85" s="210"/>
      <c r="AD85" s="210"/>
      <c r="AE85" s="146"/>
      <c r="AF85" s="210"/>
      <c r="AG85" s="210"/>
      <c r="AH85" s="209"/>
      <c r="AI85" s="103"/>
      <c r="AJ85" s="205" t="s">
        <v>231</v>
      </c>
      <c r="AK85" s="103" t="s">
        <v>232</v>
      </c>
      <c r="AL85" s="102"/>
      <c r="AM85" s="102"/>
      <c r="AN85" s="103"/>
      <c r="AO85" s="103"/>
      <c r="AP85" s="103"/>
      <c r="AQ85" s="103"/>
    </row>
    <row r="86" spans="1:43" s="95" customFormat="1" ht="18" x14ac:dyDescent="0.35">
      <c r="A86" s="121">
        <v>1</v>
      </c>
      <c r="B86" s="121" t="s">
        <v>95</v>
      </c>
      <c r="C86" s="196" t="s">
        <v>96</v>
      </c>
      <c r="D86" s="121">
        <v>21</v>
      </c>
      <c r="E86" s="130">
        <v>55</v>
      </c>
      <c r="F86" s="133">
        <f>D86/1.2-1</f>
        <v>16.5</v>
      </c>
      <c r="G86" s="132">
        <f t="shared" ref="G86:G91" si="49">D86*60/E86</f>
        <v>22.90909090909091</v>
      </c>
      <c r="H86" s="133">
        <f t="shared" ref="H86:H91" si="50">F86*0.3</f>
        <v>4.95</v>
      </c>
      <c r="I86" s="130">
        <v>6</v>
      </c>
      <c r="J86" s="132">
        <f t="shared" ref="J86:J91" si="51">G86+H86+I86</f>
        <v>33.859090909090909</v>
      </c>
      <c r="K86" s="132">
        <f t="shared" ref="K86:K91" si="52">J86*2</f>
        <v>67.718181818181819</v>
      </c>
      <c r="L86" s="176">
        <v>60</v>
      </c>
      <c r="M86" s="237">
        <v>1</v>
      </c>
      <c r="N86" s="241">
        <f t="shared" ref="N86:N91" si="53">(4*60/L86)*2+(8*60/120)*2</f>
        <v>16</v>
      </c>
      <c r="O86" s="135">
        <f t="shared" ref="O86:O91" si="54">D86*N86</f>
        <v>336</v>
      </c>
      <c r="S86" s="103"/>
      <c r="T86" s="103" t="s">
        <v>233</v>
      </c>
      <c r="U86" s="210">
        <f>SUM(F111:F114)+F119+F121+SUM(F122:F127)</f>
        <v>463.08333333333337</v>
      </c>
      <c r="V86" s="146">
        <f>U86*70%</f>
        <v>324.15833333333336</v>
      </c>
      <c r="W86" s="146"/>
      <c r="X86" s="146"/>
      <c r="Y86" s="146"/>
      <c r="Z86" s="210"/>
      <c r="AA86" s="210"/>
      <c r="AB86" s="210"/>
      <c r="AC86" s="210"/>
      <c r="AD86" s="210"/>
      <c r="AE86" s="146"/>
      <c r="AF86" s="210"/>
      <c r="AG86" s="210"/>
      <c r="AH86" s="209"/>
      <c r="AI86" s="146" t="s">
        <v>233</v>
      </c>
      <c r="AJ86" s="210">
        <f>SUM(U111:U114)+U119+U121+SUM(U122:U127)</f>
        <v>210.52914072229143</v>
      </c>
      <c r="AK86" s="146">
        <f>AJ86*70%</f>
        <v>147.37039850560399</v>
      </c>
      <c r="AL86" s="102"/>
      <c r="AM86" s="102"/>
      <c r="AN86" s="103"/>
      <c r="AO86" s="103"/>
      <c r="AP86" s="103"/>
      <c r="AQ86" s="103"/>
    </row>
    <row r="87" spans="1:43" s="102" customFormat="1" ht="16.5" x14ac:dyDescent="0.35">
      <c r="A87" s="121">
        <v>2</v>
      </c>
      <c r="B87" s="121" t="s">
        <v>97</v>
      </c>
      <c r="C87" s="121" t="s">
        <v>98</v>
      </c>
      <c r="D87" s="121">
        <v>65</v>
      </c>
      <c r="E87" s="130">
        <v>55</v>
      </c>
      <c r="F87" s="133">
        <f>D87/1.2-1</f>
        <v>53.166666666666671</v>
      </c>
      <c r="G87" s="132">
        <f t="shared" si="49"/>
        <v>70.909090909090907</v>
      </c>
      <c r="H87" s="133">
        <f t="shared" si="50"/>
        <v>15.950000000000001</v>
      </c>
      <c r="I87" s="130">
        <v>6</v>
      </c>
      <c r="J87" s="132">
        <f t="shared" si="51"/>
        <v>92.859090909090909</v>
      </c>
      <c r="K87" s="132">
        <f t="shared" si="52"/>
        <v>185.71818181818182</v>
      </c>
      <c r="L87" s="176">
        <v>60</v>
      </c>
      <c r="M87" s="237">
        <v>3</v>
      </c>
      <c r="N87" s="241">
        <f t="shared" si="53"/>
        <v>16</v>
      </c>
      <c r="O87" s="135">
        <f t="shared" si="54"/>
        <v>1040</v>
      </c>
      <c r="P87" s="95"/>
      <c r="Q87" s="95"/>
      <c r="R87" s="95"/>
      <c r="S87" s="103"/>
      <c r="T87" s="103" t="s">
        <v>234</v>
      </c>
      <c r="U87" s="210">
        <f>U86+SUM(F135:F140)+SUM(F131:F132)</f>
        <v>717.91666666666663</v>
      </c>
      <c r="V87" s="146">
        <f>U87*70%</f>
        <v>502.54166666666663</v>
      </c>
      <c r="W87" s="146"/>
      <c r="X87" s="146"/>
      <c r="Y87" s="146"/>
      <c r="Z87" s="210"/>
      <c r="AA87" s="210"/>
      <c r="AB87" s="210"/>
      <c r="AC87" s="210"/>
      <c r="AD87" s="210"/>
      <c r="AE87" s="146"/>
      <c r="AF87" s="210"/>
      <c r="AG87" s="210"/>
      <c r="AH87" s="209"/>
      <c r="AI87" s="146" t="s">
        <v>234</v>
      </c>
      <c r="AJ87" s="210">
        <f>AJ86+SUM(U135:U140)+SUM(U131:U132)</f>
        <v>451.38078907393981</v>
      </c>
      <c r="AK87" s="146">
        <f>AJ87*70%</f>
        <v>315.96655235175785</v>
      </c>
      <c r="AN87" s="103"/>
      <c r="AO87" s="103"/>
      <c r="AP87" s="103"/>
      <c r="AQ87" s="103"/>
    </row>
    <row r="88" spans="1:43" s="102" customFormat="1" ht="16.5" x14ac:dyDescent="0.35">
      <c r="A88" s="121">
        <v>3</v>
      </c>
      <c r="B88" s="121" t="s">
        <v>99</v>
      </c>
      <c r="C88" s="121" t="s">
        <v>100</v>
      </c>
      <c r="D88" s="121">
        <v>29</v>
      </c>
      <c r="E88" s="130">
        <v>55</v>
      </c>
      <c r="F88" s="133">
        <f>D88/1.2-1</f>
        <v>23.166666666666668</v>
      </c>
      <c r="G88" s="132">
        <f t="shared" si="49"/>
        <v>31.636363636363637</v>
      </c>
      <c r="H88" s="133">
        <f t="shared" si="50"/>
        <v>6.95</v>
      </c>
      <c r="I88" s="130">
        <v>6</v>
      </c>
      <c r="J88" s="132">
        <f t="shared" si="51"/>
        <v>44.586363636363636</v>
      </c>
      <c r="K88" s="132">
        <f t="shared" si="52"/>
        <v>89.172727272727272</v>
      </c>
      <c r="L88" s="176">
        <v>60</v>
      </c>
      <c r="M88" s="237">
        <v>2</v>
      </c>
      <c r="N88" s="241">
        <f t="shared" si="53"/>
        <v>16</v>
      </c>
      <c r="O88" s="135">
        <f t="shared" si="54"/>
        <v>464</v>
      </c>
      <c r="P88" s="95"/>
      <c r="Q88" s="95"/>
      <c r="R88" s="95"/>
      <c r="S88" s="103"/>
      <c r="T88" s="103"/>
      <c r="U88" s="210"/>
      <c r="V88" s="146"/>
      <c r="W88" s="146"/>
      <c r="X88" s="146"/>
      <c r="Y88" s="146"/>
      <c r="Z88" s="210"/>
      <c r="AA88" s="210"/>
      <c r="AB88" s="210"/>
      <c r="AC88" s="210"/>
      <c r="AD88" s="210"/>
      <c r="AE88" s="146"/>
      <c r="AF88" s="210"/>
      <c r="AG88" s="210"/>
      <c r="AH88" s="209"/>
      <c r="AI88" s="146"/>
      <c r="AJ88" s="210"/>
      <c r="AK88" s="146"/>
      <c r="AN88" s="103"/>
      <c r="AO88" s="103"/>
      <c r="AP88" s="103"/>
      <c r="AQ88" s="103"/>
    </row>
    <row r="89" spans="1:43" s="102" customFormat="1" ht="16.5" x14ac:dyDescent="0.35">
      <c r="A89" s="121">
        <v>4</v>
      </c>
      <c r="B89" s="121" t="s">
        <v>101</v>
      </c>
      <c r="C89" s="121" t="s">
        <v>189</v>
      </c>
      <c r="D89" s="121">
        <v>43</v>
      </c>
      <c r="E89" s="130">
        <v>55</v>
      </c>
      <c r="F89" s="133">
        <f>D89/1.2-1</f>
        <v>34.833333333333336</v>
      </c>
      <c r="G89" s="132">
        <f t="shared" si="49"/>
        <v>46.909090909090907</v>
      </c>
      <c r="H89" s="133">
        <f t="shared" si="50"/>
        <v>10.450000000000001</v>
      </c>
      <c r="I89" s="130">
        <v>6</v>
      </c>
      <c r="J89" s="132">
        <f t="shared" si="51"/>
        <v>63.359090909090909</v>
      </c>
      <c r="K89" s="132">
        <f t="shared" si="52"/>
        <v>126.71818181818182</v>
      </c>
      <c r="L89" s="176">
        <v>60</v>
      </c>
      <c r="M89" s="237">
        <v>2</v>
      </c>
      <c r="N89" s="241">
        <f t="shared" si="53"/>
        <v>16</v>
      </c>
      <c r="O89" s="135">
        <f t="shared" si="54"/>
        <v>688</v>
      </c>
      <c r="P89" s="95"/>
      <c r="Q89" s="95"/>
      <c r="R89" s="95"/>
      <c r="S89" s="103"/>
      <c r="T89" s="103"/>
      <c r="U89" s="210" t="s">
        <v>235</v>
      </c>
      <c r="V89" s="146" t="s">
        <v>232</v>
      </c>
      <c r="W89" s="146"/>
      <c r="X89" s="146"/>
      <c r="Y89" s="146"/>
      <c r="Z89" s="210"/>
      <c r="AA89" s="210"/>
      <c r="AB89" s="210"/>
      <c r="AC89" s="210"/>
      <c r="AD89" s="210"/>
      <c r="AE89" s="146"/>
      <c r="AF89" s="210"/>
      <c r="AG89" s="210"/>
      <c r="AH89" s="209"/>
      <c r="AI89" s="146"/>
      <c r="AJ89" s="210" t="s">
        <v>235</v>
      </c>
      <c r="AK89" s="146" t="s">
        <v>232</v>
      </c>
      <c r="AN89" s="103"/>
      <c r="AO89" s="103"/>
      <c r="AP89" s="103"/>
      <c r="AQ89" s="103"/>
    </row>
    <row r="90" spans="1:43" s="102" customFormat="1" ht="15.5" x14ac:dyDescent="0.35">
      <c r="A90" s="121">
        <v>5</v>
      </c>
      <c r="B90" s="121" t="s">
        <v>85</v>
      </c>
      <c r="C90" s="121" t="s">
        <v>86</v>
      </c>
      <c r="D90" s="121">
        <v>75</v>
      </c>
      <c r="E90" s="130">
        <v>55</v>
      </c>
      <c r="F90" s="133">
        <f>D90/1.5-1</f>
        <v>49</v>
      </c>
      <c r="G90" s="132">
        <f t="shared" si="49"/>
        <v>81.818181818181813</v>
      </c>
      <c r="H90" s="133">
        <f t="shared" si="50"/>
        <v>14.7</v>
      </c>
      <c r="I90" s="130">
        <v>6</v>
      </c>
      <c r="J90" s="132">
        <f t="shared" si="51"/>
        <v>102.51818181818182</v>
      </c>
      <c r="K90" s="132">
        <f t="shared" si="52"/>
        <v>205.03636363636363</v>
      </c>
      <c r="L90" s="176">
        <v>60</v>
      </c>
      <c r="M90" s="149">
        <v>4</v>
      </c>
      <c r="N90" s="241">
        <f t="shared" si="53"/>
        <v>16</v>
      </c>
      <c r="O90" s="135">
        <f t="shared" si="54"/>
        <v>1200</v>
      </c>
      <c r="P90" s="95"/>
      <c r="Q90" s="95"/>
      <c r="R90" s="95"/>
      <c r="S90" s="103"/>
      <c r="T90" s="103" t="s">
        <v>233</v>
      </c>
      <c r="U90" s="210">
        <f>U86+42-371</f>
        <v>134.08333333333337</v>
      </c>
      <c r="V90" s="146">
        <f>U90*70%</f>
        <v>93.858333333333348</v>
      </c>
      <c r="W90" s="146"/>
      <c r="X90" s="146"/>
      <c r="Y90" s="146"/>
      <c r="Z90" s="210"/>
      <c r="AA90" s="210"/>
      <c r="AB90" s="210"/>
      <c r="AC90" s="210"/>
      <c r="AD90" s="210"/>
      <c r="AE90" s="146"/>
      <c r="AF90" s="210"/>
      <c r="AG90" s="210"/>
      <c r="AH90" s="209"/>
      <c r="AI90" s="146" t="s">
        <v>233</v>
      </c>
      <c r="AJ90" s="210">
        <f>AJ86+42-371</f>
        <v>-118.47085927770857</v>
      </c>
      <c r="AK90" s="146">
        <f>AJ90*70%</f>
        <v>-82.929601494395996</v>
      </c>
      <c r="AN90" s="103"/>
      <c r="AO90" s="103"/>
      <c r="AP90" s="103"/>
      <c r="AQ90" s="103"/>
    </row>
    <row r="91" spans="1:43" s="102" customFormat="1" ht="18" x14ac:dyDescent="0.35">
      <c r="A91" s="121">
        <v>6</v>
      </c>
      <c r="B91" s="121" t="s">
        <v>87</v>
      </c>
      <c r="C91" s="196" t="s">
        <v>88</v>
      </c>
      <c r="D91" s="121">
        <v>30</v>
      </c>
      <c r="E91" s="130">
        <v>55</v>
      </c>
      <c r="F91" s="133">
        <f>D91/1.5-1</f>
        <v>19</v>
      </c>
      <c r="G91" s="132">
        <f t="shared" si="49"/>
        <v>32.727272727272727</v>
      </c>
      <c r="H91" s="133">
        <f t="shared" si="50"/>
        <v>5.7</v>
      </c>
      <c r="I91" s="130">
        <v>6</v>
      </c>
      <c r="J91" s="132">
        <f t="shared" si="51"/>
        <v>44.427272727272729</v>
      </c>
      <c r="K91" s="132">
        <f t="shared" si="52"/>
        <v>88.854545454545459</v>
      </c>
      <c r="L91" s="176">
        <v>60</v>
      </c>
      <c r="M91" s="149">
        <v>2</v>
      </c>
      <c r="N91" s="241">
        <f t="shared" si="53"/>
        <v>16</v>
      </c>
      <c r="O91" s="135">
        <f t="shared" si="54"/>
        <v>480</v>
      </c>
      <c r="P91" s="95"/>
      <c r="Q91" s="95"/>
      <c r="R91" s="95"/>
      <c r="S91" s="103"/>
      <c r="T91" s="103" t="s">
        <v>236</v>
      </c>
      <c r="U91" s="210">
        <f>(SUM(F135:F140)+SUM(F131:F132))/2-21</f>
        <v>106.41666666666669</v>
      </c>
      <c r="V91" s="146">
        <f>U91*70%</f>
        <v>74.491666666666674</v>
      </c>
      <c r="W91" s="146"/>
      <c r="X91" s="146"/>
      <c r="Y91" s="146"/>
      <c r="Z91" s="210"/>
      <c r="AA91" s="210"/>
      <c r="AB91" s="210"/>
      <c r="AC91" s="210"/>
      <c r="AD91" s="210"/>
      <c r="AE91" s="146"/>
      <c r="AF91" s="210"/>
      <c r="AG91" s="210"/>
      <c r="AH91" s="209"/>
      <c r="AI91" s="146" t="s">
        <v>237</v>
      </c>
      <c r="AJ91" s="210">
        <f>AJ87+42-371</f>
        <v>122.38078907393981</v>
      </c>
      <c r="AK91" s="146">
        <f>AJ91*70%</f>
        <v>85.666552351757858</v>
      </c>
      <c r="AN91" s="103"/>
      <c r="AO91" s="103"/>
      <c r="AP91" s="103"/>
      <c r="AQ91" s="103"/>
    </row>
    <row r="92" spans="1:43" s="102" customFormat="1" ht="17.5" x14ac:dyDescent="0.35">
      <c r="A92" s="129"/>
      <c r="B92" s="193"/>
      <c r="C92" s="193"/>
      <c r="D92" s="188">
        <f>SUM(D86:D91)</f>
        <v>263</v>
      </c>
      <c r="E92" s="156"/>
      <c r="F92" s="188">
        <f>SUM(F86:F91)</f>
        <v>195.66666666666669</v>
      </c>
      <c r="G92" s="180"/>
      <c r="H92" s="188"/>
      <c r="I92" s="189"/>
      <c r="J92" s="180"/>
      <c r="K92" s="180"/>
      <c r="L92" s="190"/>
      <c r="M92" s="188">
        <f t="shared" ref="M92" si="55">SUM(M86:M91)</f>
        <v>14</v>
      </c>
      <c r="N92" s="242">
        <f>SUM(N86:N91)</f>
        <v>96</v>
      </c>
      <c r="O92" s="238"/>
      <c r="P92" s="244">
        <f>N81+N92</f>
        <v>333</v>
      </c>
      <c r="Q92" s="95"/>
      <c r="R92" s="95"/>
      <c r="S92" s="103"/>
      <c r="T92" s="103"/>
      <c r="U92" s="205"/>
      <c r="V92" s="103"/>
      <c r="W92" s="146"/>
      <c r="X92" s="146"/>
      <c r="Y92" s="146"/>
      <c r="Z92" s="210"/>
      <c r="AA92" s="210"/>
      <c r="AB92" s="210"/>
      <c r="AC92" s="210"/>
      <c r="AD92" s="210"/>
      <c r="AE92" s="146"/>
      <c r="AF92" s="210"/>
      <c r="AG92" s="210"/>
      <c r="AH92" s="209"/>
      <c r="AI92" s="210"/>
      <c r="AN92" s="103"/>
      <c r="AO92" s="103"/>
      <c r="AP92" s="103"/>
      <c r="AQ92" s="103"/>
    </row>
    <row r="93" spans="1:43" s="102" customFormat="1" x14ac:dyDescent="0.35">
      <c r="A93" s="103"/>
      <c r="B93" s="103"/>
      <c r="C93" s="205"/>
      <c r="D93" s="103"/>
      <c r="E93" s="205"/>
      <c r="F93" s="206"/>
      <c r="G93" s="207"/>
      <c r="H93" s="208"/>
      <c r="I93" s="103"/>
      <c r="J93" s="207"/>
      <c r="K93" s="205"/>
      <c r="L93" s="209"/>
      <c r="M93" s="210"/>
      <c r="N93" s="211"/>
      <c r="O93" s="96"/>
      <c r="P93" s="95"/>
      <c r="Q93" s="95"/>
      <c r="R93" s="95"/>
      <c r="S93" s="103"/>
      <c r="T93" s="103"/>
      <c r="U93" s="205"/>
      <c r="V93" s="103"/>
      <c r="W93" s="146"/>
      <c r="X93" s="146"/>
      <c r="Y93" s="146"/>
      <c r="Z93" s="210"/>
      <c r="AA93" s="210"/>
      <c r="AB93" s="210"/>
      <c r="AC93" s="210"/>
      <c r="AD93" s="210"/>
      <c r="AE93" s="146"/>
      <c r="AF93" s="210"/>
      <c r="AG93" s="210"/>
      <c r="AH93" s="209"/>
      <c r="AI93" s="210"/>
      <c r="AN93" s="103"/>
      <c r="AO93" s="103"/>
      <c r="AP93" s="103"/>
      <c r="AQ93" s="103"/>
    </row>
    <row r="94" spans="1:43" x14ac:dyDescent="0.35">
      <c r="U94" s="205" t="s">
        <v>235</v>
      </c>
      <c r="V94" s="103" t="s">
        <v>232</v>
      </c>
    </row>
    <row r="95" spans="1:43" x14ac:dyDescent="0.35">
      <c r="T95" s="103" t="s">
        <v>233</v>
      </c>
      <c r="U95" s="210">
        <v>134</v>
      </c>
      <c r="V95" s="146">
        <v>93.858333333333348</v>
      </c>
    </row>
    <row r="96" spans="1:43" x14ac:dyDescent="0.35">
      <c r="T96" s="103" t="s">
        <v>236</v>
      </c>
      <c r="U96" s="210">
        <v>234</v>
      </c>
      <c r="V96" s="146">
        <v>272.24166666666662</v>
      </c>
    </row>
    <row r="97" spans="1:43" s="102" customFormat="1" x14ac:dyDescent="0.35">
      <c r="A97" s="103"/>
      <c r="B97" s="103"/>
      <c r="C97" s="205"/>
      <c r="D97" s="103"/>
      <c r="E97" s="205"/>
      <c r="F97" s="206"/>
      <c r="G97" s="207"/>
      <c r="H97" s="208"/>
      <c r="I97" s="103"/>
      <c r="J97" s="207"/>
      <c r="K97" s="205"/>
      <c r="L97" s="209"/>
      <c r="M97" s="210"/>
      <c r="N97" s="211"/>
      <c r="O97" s="95"/>
      <c r="P97" s="95"/>
      <c r="Q97" s="95"/>
      <c r="R97" s="95"/>
      <c r="S97" s="103"/>
      <c r="T97" s="103"/>
      <c r="U97" s="210"/>
      <c r="V97" s="146"/>
      <c r="W97" s="146"/>
      <c r="X97" s="146"/>
      <c r="Y97" s="146"/>
      <c r="Z97" s="210"/>
      <c r="AA97" s="210"/>
      <c r="AB97" s="210"/>
      <c r="AC97" s="210"/>
      <c r="AD97" s="210"/>
      <c r="AE97" s="146"/>
      <c r="AF97" s="210"/>
      <c r="AG97" s="210"/>
      <c r="AH97" s="210"/>
      <c r="AI97" s="210"/>
      <c r="AN97" s="103"/>
      <c r="AO97" s="103"/>
      <c r="AP97" s="103"/>
      <c r="AQ97" s="103"/>
    </row>
    <row r="98" spans="1:43" s="102" customFormat="1" ht="16.5" x14ac:dyDescent="0.35">
      <c r="A98" s="416" t="s">
        <v>0</v>
      </c>
      <c r="B98" s="416" t="s">
        <v>27</v>
      </c>
      <c r="C98" s="416" t="s">
        <v>28</v>
      </c>
      <c r="D98" s="120" t="s">
        <v>29</v>
      </c>
      <c r="E98" s="411" t="s">
        <v>60</v>
      </c>
      <c r="F98" s="410" t="s">
        <v>61</v>
      </c>
      <c r="G98" s="409" t="s">
        <v>62</v>
      </c>
      <c r="H98" s="410" t="s">
        <v>63</v>
      </c>
      <c r="I98" s="411" t="s">
        <v>64</v>
      </c>
      <c r="J98" s="409" t="s">
        <v>65</v>
      </c>
      <c r="K98" s="411" t="s">
        <v>66</v>
      </c>
      <c r="L98" s="412" t="s">
        <v>206</v>
      </c>
      <c r="M98" s="416" t="s">
        <v>238</v>
      </c>
      <c r="N98" s="425" t="s">
        <v>219</v>
      </c>
      <c r="O98" s="435" t="s">
        <v>239</v>
      </c>
      <c r="P98" s="435"/>
      <c r="Q98" s="435" t="s">
        <v>192</v>
      </c>
      <c r="R98" s="435"/>
      <c r="S98" s="103"/>
      <c r="T98" s="103"/>
      <c r="U98" s="205"/>
      <c r="V98" s="103"/>
      <c r="W98" s="146"/>
      <c r="X98" s="146"/>
      <c r="Y98" s="146"/>
      <c r="Z98" s="210"/>
      <c r="AA98" s="210"/>
      <c r="AB98" s="210"/>
      <c r="AC98" s="210"/>
      <c r="AD98" s="210"/>
      <c r="AE98" s="146"/>
      <c r="AF98" s="210"/>
      <c r="AG98" s="210"/>
      <c r="AH98" s="210"/>
      <c r="AI98" s="210"/>
      <c r="AN98" s="103"/>
      <c r="AO98" s="103"/>
      <c r="AP98" s="103"/>
      <c r="AQ98" s="103"/>
    </row>
    <row r="99" spans="1:43" s="102" customFormat="1" ht="16.5" x14ac:dyDescent="0.35">
      <c r="A99" s="416"/>
      <c r="B99" s="416"/>
      <c r="C99" s="416"/>
      <c r="D99" s="120" t="s">
        <v>30</v>
      </c>
      <c r="E99" s="411"/>
      <c r="F99" s="410"/>
      <c r="G99" s="409"/>
      <c r="H99" s="410"/>
      <c r="I99" s="411"/>
      <c r="J99" s="409"/>
      <c r="K99" s="411"/>
      <c r="L99" s="412"/>
      <c r="M99" s="416"/>
      <c r="N99" s="425"/>
      <c r="O99" s="245" t="s">
        <v>240</v>
      </c>
      <c r="P99" s="246" t="s">
        <v>241</v>
      </c>
      <c r="Q99" s="246" t="s">
        <v>115</v>
      </c>
      <c r="R99" s="245" t="s">
        <v>242</v>
      </c>
      <c r="S99" s="103"/>
      <c r="T99" s="103"/>
      <c r="U99" s="205">
        <f>48+33</f>
        <v>81</v>
      </c>
      <c r="V99" s="103"/>
      <c r="W99" s="146"/>
      <c r="X99" s="146"/>
      <c r="Y99" s="146"/>
      <c r="Z99" s="210"/>
      <c r="AA99" s="210"/>
      <c r="AB99" s="210"/>
      <c r="AC99" s="210"/>
      <c r="AD99" s="210"/>
      <c r="AE99" s="146"/>
      <c r="AF99" s="210"/>
      <c r="AG99" s="210"/>
      <c r="AH99" s="210"/>
      <c r="AI99" s="210"/>
      <c r="AN99" s="103"/>
      <c r="AO99" s="103"/>
      <c r="AP99" s="103"/>
      <c r="AQ99" s="103"/>
    </row>
    <row r="100" spans="1:43" s="102" customFormat="1" ht="22.5" customHeight="1" thickBot="1" x14ac:dyDescent="0.4">
      <c r="A100" s="120" t="s">
        <v>24</v>
      </c>
      <c r="B100" s="419" t="s">
        <v>31</v>
      </c>
      <c r="C100" s="419"/>
      <c r="D100" s="419"/>
      <c r="E100" s="419"/>
      <c r="F100" s="419"/>
      <c r="G100" s="419"/>
      <c r="H100" s="419"/>
      <c r="I100" s="419"/>
      <c r="J100" s="419"/>
      <c r="K100" s="419"/>
      <c r="L100" s="419"/>
      <c r="M100" s="419"/>
      <c r="N100" s="419"/>
      <c r="O100" s="419"/>
      <c r="P100" s="419"/>
      <c r="Q100" s="419"/>
      <c r="R100" s="419"/>
      <c r="S100" s="103"/>
      <c r="T100" s="103"/>
      <c r="U100" s="205"/>
      <c r="V100" s="103"/>
      <c r="W100" s="146"/>
      <c r="X100" s="146"/>
      <c r="Y100" s="146"/>
      <c r="Z100" s="210"/>
      <c r="AA100" s="210"/>
      <c r="AB100" s="210"/>
      <c r="AC100" s="210"/>
      <c r="AD100" s="210"/>
      <c r="AE100" s="146"/>
      <c r="AF100" s="210"/>
      <c r="AG100" s="210"/>
      <c r="AH100" s="210"/>
      <c r="AI100" s="210"/>
      <c r="AJ100" s="102" t="s">
        <v>243</v>
      </c>
      <c r="AN100" s="103"/>
      <c r="AO100" s="103"/>
      <c r="AP100" s="103"/>
      <c r="AQ100" s="103"/>
    </row>
    <row r="101" spans="1:43" s="102" customFormat="1" ht="18.649999999999999" customHeight="1" thickBot="1" x14ac:dyDescent="0.4">
      <c r="A101" s="120">
        <v>1.1000000000000001</v>
      </c>
      <c r="B101" s="419" t="s">
        <v>76</v>
      </c>
      <c r="C101" s="419"/>
      <c r="D101" s="419"/>
      <c r="E101" s="419"/>
      <c r="F101" s="419"/>
      <c r="G101" s="419"/>
      <c r="H101" s="419"/>
      <c r="I101" s="419"/>
      <c r="J101" s="419"/>
      <c r="K101" s="419"/>
      <c r="L101" s="419"/>
      <c r="M101" s="419"/>
      <c r="N101" s="419"/>
      <c r="O101" s="419"/>
      <c r="P101" s="419"/>
      <c r="Q101" s="419"/>
      <c r="R101" s="419"/>
      <c r="S101" s="103">
        <v>2030</v>
      </c>
      <c r="T101" s="247"/>
      <c r="U101" s="431"/>
      <c r="V101" s="431"/>
      <c r="W101" s="248"/>
      <c r="X101" s="249"/>
      <c r="Y101" s="249"/>
      <c r="Z101" s="249"/>
      <c r="AA101" s="249"/>
      <c r="AB101" s="250"/>
      <c r="AC101" s="249"/>
      <c r="AD101" s="249"/>
      <c r="AE101" s="249"/>
      <c r="AF101" s="249"/>
      <c r="AG101" s="251"/>
      <c r="AH101" s="252"/>
      <c r="AI101" s="253"/>
      <c r="AJ101" s="254" t="s">
        <v>244</v>
      </c>
      <c r="AK101" s="255" t="s">
        <v>2</v>
      </c>
      <c r="AL101" s="256" t="s">
        <v>245</v>
      </c>
      <c r="AN101" s="103"/>
      <c r="AO101" s="103"/>
      <c r="AP101" s="103"/>
      <c r="AQ101" s="103"/>
    </row>
    <row r="102" spans="1:43" s="102" customFormat="1" ht="31" customHeight="1" thickBot="1" x14ac:dyDescent="0.4">
      <c r="A102" s="121">
        <v>1</v>
      </c>
      <c r="B102" s="121" t="s">
        <v>32</v>
      </c>
      <c r="C102" s="121" t="s">
        <v>33</v>
      </c>
      <c r="D102" s="121">
        <v>24.4</v>
      </c>
      <c r="E102" s="130">
        <v>50</v>
      </c>
      <c r="F102" s="133">
        <f t="shared" ref="F102:F109" si="56">D102/0.65-1</f>
        <v>36.538461538461533</v>
      </c>
      <c r="G102" s="132">
        <f t="shared" ref="G102:G114" si="57">D102*60/E102</f>
        <v>29.28</v>
      </c>
      <c r="H102" s="133">
        <f>F102*0.3</f>
        <v>10.96153846153846</v>
      </c>
      <c r="I102" s="130">
        <v>6</v>
      </c>
      <c r="J102" s="132">
        <f>G102+H102+I102</f>
        <v>46.241538461538461</v>
      </c>
      <c r="K102" s="132">
        <f>J102*2</f>
        <v>92.483076923076922</v>
      </c>
      <c r="L102" s="147">
        <v>20</v>
      </c>
      <c r="M102" s="149">
        <v>5</v>
      </c>
      <c r="N102" s="147">
        <f>(4.5*60/L102)*2+(9.5*60/60)*2</f>
        <v>46</v>
      </c>
      <c r="O102" s="239">
        <v>3</v>
      </c>
      <c r="P102" s="257">
        <f>M102-O102</f>
        <v>2</v>
      </c>
      <c r="Q102" s="239">
        <v>0</v>
      </c>
      <c r="R102" s="239">
        <v>0</v>
      </c>
      <c r="S102" s="258" t="s">
        <v>244</v>
      </c>
      <c r="T102" s="259" t="s">
        <v>246</v>
      </c>
      <c r="U102" s="259"/>
      <c r="V102" s="260"/>
      <c r="W102" s="259" t="s">
        <v>247</v>
      </c>
      <c r="X102" s="249"/>
      <c r="Y102" s="249"/>
      <c r="Z102" s="249"/>
      <c r="AA102" s="249"/>
      <c r="AB102" s="249"/>
      <c r="AC102" s="249"/>
      <c r="AD102" s="249"/>
      <c r="AE102" s="249"/>
      <c r="AF102" s="249"/>
      <c r="AG102" s="251"/>
      <c r="AH102" s="261"/>
      <c r="AI102" s="262"/>
      <c r="AJ102" s="263" t="s">
        <v>248</v>
      </c>
      <c r="AK102" s="264" t="s">
        <v>249</v>
      </c>
      <c r="AL102" s="265">
        <f>M102+M103+M107+M108+M109+M105</f>
        <v>22</v>
      </c>
      <c r="AN102" s="103"/>
      <c r="AO102" s="103"/>
      <c r="AP102" s="103"/>
      <c r="AQ102" s="103"/>
    </row>
    <row r="103" spans="1:43" s="102" customFormat="1" ht="31" customHeight="1" thickBot="1" x14ac:dyDescent="0.4">
      <c r="A103" s="121">
        <v>2</v>
      </c>
      <c r="B103" s="121" t="s">
        <v>34</v>
      </c>
      <c r="C103" s="121" t="s">
        <v>131</v>
      </c>
      <c r="D103" s="121">
        <v>25.2</v>
      </c>
      <c r="E103" s="130">
        <v>50</v>
      </c>
      <c r="F103" s="133">
        <f t="shared" si="56"/>
        <v>37.769230769230766</v>
      </c>
      <c r="G103" s="132">
        <f t="shared" si="57"/>
        <v>30.24</v>
      </c>
      <c r="H103" s="133">
        <f t="shared" ref="H103:H112" si="58">F103*0.3</f>
        <v>11.33076923076923</v>
      </c>
      <c r="I103" s="130">
        <v>6</v>
      </c>
      <c r="J103" s="132">
        <f t="shared" ref="J103:J112" si="59">G103+H103+I103</f>
        <v>47.57076923076923</v>
      </c>
      <c r="K103" s="132">
        <f t="shared" ref="K103:K112" si="60">J103*2</f>
        <v>95.14153846153846</v>
      </c>
      <c r="L103" s="147">
        <v>20</v>
      </c>
      <c r="M103" s="149">
        <v>5</v>
      </c>
      <c r="N103" s="147">
        <f>(4.5*60/L103)*2+(9.5*60/60)*2</f>
        <v>46</v>
      </c>
      <c r="O103" s="266">
        <v>3</v>
      </c>
      <c r="P103" s="257">
        <f t="shared" ref="P103:P127" si="61">M103-O103</f>
        <v>2</v>
      </c>
      <c r="Q103" s="239">
        <v>0</v>
      </c>
      <c r="R103" s="239">
        <v>0</v>
      </c>
      <c r="S103" s="267" t="s">
        <v>250</v>
      </c>
      <c r="T103" s="268">
        <f>M102+M103+M105+M107+M108+M109</f>
        <v>22</v>
      </c>
      <c r="U103" s="269"/>
      <c r="V103" s="270"/>
      <c r="W103" s="268">
        <f>T103+U103</f>
        <v>22</v>
      </c>
      <c r="X103" s="249"/>
      <c r="Y103" s="249"/>
      <c r="Z103" s="249"/>
      <c r="AA103" s="249"/>
      <c r="AB103" s="249"/>
      <c r="AC103" s="249"/>
      <c r="AD103" s="249"/>
      <c r="AE103" s="249"/>
      <c r="AF103" s="249"/>
      <c r="AG103" s="251"/>
      <c r="AH103" s="261"/>
      <c r="AI103" s="271"/>
      <c r="AJ103" s="263" t="s">
        <v>251</v>
      </c>
      <c r="AK103" s="264" t="s">
        <v>249</v>
      </c>
      <c r="AL103" s="272">
        <v>83</v>
      </c>
      <c r="AN103" s="103"/>
      <c r="AO103" s="103"/>
      <c r="AP103" s="103"/>
      <c r="AQ103" s="103"/>
    </row>
    <row r="104" spans="1:43" s="102" customFormat="1" ht="31" customHeight="1" thickBot="1" x14ac:dyDescent="0.4">
      <c r="A104" s="121">
        <v>3</v>
      </c>
      <c r="B104" s="121" t="s">
        <v>36</v>
      </c>
      <c r="C104" s="121" t="s">
        <v>69</v>
      </c>
      <c r="D104" s="121">
        <v>20</v>
      </c>
      <c r="E104" s="130">
        <v>55</v>
      </c>
      <c r="F104" s="133">
        <f t="shared" si="56"/>
        <v>29.769230769230766</v>
      </c>
      <c r="G104" s="132">
        <f t="shared" si="57"/>
        <v>21.818181818181817</v>
      </c>
      <c r="H104" s="133">
        <f t="shared" si="58"/>
        <v>8.9307692307692292</v>
      </c>
      <c r="I104" s="130">
        <v>6</v>
      </c>
      <c r="J104" s="132">
        <f t="shared" si="59"/>
        <v>36.748951048951042</v>
      </c>
      <c r="K104" s="132">
        <f t="shared" si="60"/>
        <v>73.497902097902085</v>
      </c>
      <c r="L104" s="153">
        <v>40</v>
      </c>
      <c r="M104" s="149">
        <v>2</v>
      </c>
      <c r="N104" s="153">
        <f>(4.5*60/L104)*2+(9.5*60/120)*2</f>
        <v>23</v>
      </c>
      <c r="O104" s="266">
        <v>1</v>
      </c>
      <c r="P104" s="273">
        <f t="shared" si="61"/>
        <v>1</v>
      </c>
      <c r="Q104" s="239">
        <v>0</v>
      </c>
      <c r="R104" s="239">
        <v>0</v>
      </c>
      <c r="S104" s="267" t="s">
        <v>252</v>
      </c>
      <c r="T104" s="269"/>
      <c r="U104" s="269"/>
      <c r="V104" s="270"/>
      <c r="W104" s="268">
        <f>(M115+M128)*1.15</f>
        <v>83.949999999999989</v>
      </c>
      <c r="X104" s="249"/>
      <c r="Y104" s="249"/>
      <c r="Z104" s="249"/>
      <c r="AA104" s="249"/>
      <c r="AB104" s="249"/>
      <c r="AC104" s="249"/>
      <c r="AD104" s="249"/>
      <c r="AE104" s="249"/>
      <c r="AF104" s="249"/>
      <c r="AG104" s="251"/>
      <c r="AH104" s="261"/>
      <c r="AI104" s="271"/>
      <c r="AJ104" s="263" t="s">
        <v>253</v>
      </c>
      <c r="AK104" s="264" t="s">
        <v>254</v>
      </c>
      <c r="AL104" s="269">
        <f>AL102*100/AL103</f>
        <v>26.506024096385541</v>
      </c>
      <c r="AN104" s="103"/>
      <c r="AO104" s="103"/>
      <c r="AP104" s="103"/>
      <c r="AQ104" s="103"/>
    </row>
    <row r="105" spans="1:43" s="102" customFormat="1" ht="31" customHeight="1" x14ac:dyDescent="0.35">
      <c r="A105" s="121">
        <v>4</v>
      </c>
      <c r="B105" s="121" t="s">
        <v>37</v>
      </c>
      <c r="C105" s="121" t="s">
        <v>38</v>
      </c>
      <c r="D105" s="121">
        <v>43.9</v>
      </c>
      <c r="E105" s="130">
        <v>55</v>
      </c>
      <c r="F105" s="133">
        <f t="shared" si="56"/>
        <v>66.538461538461533</v>
      </c>
      <c r="G105" s="132">
        <f t="shared" si="57"/>
        <v>47.890909090909091</v>
      </c>
      <c r="H105" s="133">
        <f t="shared" si="58"/>
        <v>19.96153846153846</v>
      </c>
      <c r="I105" s="130">
        <v>6</v>
      </c>
      <c r="J105" s="132">
        <f t="shared" si="59"/>
        <v>73.852447552447558</v>
      </c>
      <c r="K105" s="132">
        <f t="shared" si="60"/>
        <v>147.70489510489512</v>
      </c>
      <c r="L105" s="136">
        <v>30</v>
      </c>
      <c r="M105" s="149">
        <v>3</v>
      </c>
      <c r="N105" s="136">
        <f>(4.5*60/L105)*2+(9.5*60/90)*2</f>
        <v>30.666666666666664</v>
      </c>
      <c r="O105" s="266">
        <v>3</v>
      </c>
      <c r="P105" s="257">
        <f t="shared" si="61"/>
        <v>0</v>
      </c>
      <c r="Q105" s="239">
        <v>0</v>
      </c>
      <c r="R105" s="239">
        <v>0</v>
      </c>
      <c r="S105" s="267" t="s">
        <v>253</v>
      </c>
      <c r="T105" s="269"/>
      <c r="U105" s="269"/>
      <c r="V105" s="270"/>
      <c r="W105" s="274">
        <f>W103*100/W104</f>
        <v>26.206075044669451</v>
      </c>
      <c r="X105" s="249"/>
      <c r="Y105" s="249"/>
      <c r="Z105" s="249"/>
      <c r="AA105" s="249"/>
      <c r="AB105" s="249"/>
      <c r="AC105" s="249"/>
      <c r="AD105" s="249"/>
      <c r="AE105" s="249"/>
      <c r="AF105" s="249"/>
      <c r="AG105" s="251"/>
      <c r="AH105" s="261"/>
      <c r="AI105" s="271"/>
      <c r="AJ105" s="275">
        <v>2035</v>
      </c>
      <c r="AK105" s="276"/>
      <c r="AL105" s="276"/>
      <c r="AN105" s="103"/>
      <c r="AO105" s="103"/>
      <c r="AP105" s="103"/>
      <c r="AQ105" s="103"/>
    </row>
    <row r="106" spans="1:43" s="102" customFormat="1" ht="21" customHeight="1" x14ac:dyDescent="0.35">
      <c r="A106" s="121">
        <v>5</v>
      </c>
      <c r="B106" s="121" t="s">
        <v>39</v>
      </c>
      <c r="C106" s="121" t="s">
        <v>40</v>
      </c>
      <c r="D106" s="121">
        <v>37</v>
      </c>
      <c r="E106" s="130">
        <v>55</v>
      </c>
      <c r="F106" s="133">
        <f t="shared" si="56"/>
        <v>55.92307692307692</v>
      </c>
      <c r="G106" s="132">
        <f t="shared" si="57"/>
        <v>40.363636363636367</v>
      </c>
      <c r="H106" s="133">
        <f t="shared" si="58"/>
        <v>16.776923076923076</v>
      </c>
      <c r="I106" s="130">
        <v>6</v>
      </c>
      <c r="J106" s="132">
        <f t="shared" si="59"/>
        <v>63.140559440559443</v>
      </c>
      <c r="K106" s="132">
        <f t="shared" si="60"/>
        <v>126.28111888111889</v>
      </c>
      <c r="L106" s="167">
        <v>60</v>
      </c>
      <c r="M106" s="149">
        <v>2</v>
      </c>
      <c r="N106" s="167">
        <f>(4.5*60/L106)*2+(9.5*60/120)*2</f>
        <v>18.5</v>
      </c>
      <c r="O106" s="266">
        <v>1</v>
      </c>
      <c r="P106" s="273">
        <f t="shared" si="61"/>
        <v>1</v>
      </c>
      <c r="Q106" s="239">
        <v>0</v>
      </c>
      <c r="R106" s="239">
        <v>0</v>
      </c>
      <c r="S106" s="103" t="s">
        <v>255</v>
      </c>
      <c r="T106" s="251"/>
      <c r="U106" s="251"/>
      <c r="V106" s="277"/>
      <c r="W106" s="251"/>
      <c r="X106" s="249"/>
      <c r="Y106" s="249"/>
      <c r="Z106" s="249"/>
      <c r="AA106" s="249"/>
      <c r="AB106" s="249"/>
      <c r="AC106" s="249"/>
      <c r="AD106" s="249"/>
      <c r="AE106" s="249"/>
      <c r="AF106" s="249"/>
      <c r="AG106" s="251"/>
      <c r="AH106" s="261"/>
      <c r="AI106" s="271"/>
      <c r="AJ106" s="278" t="s">
        <v>244</v>
      </c>
      <c r="AK106" s="279" t="s">
        <v>2</v>
      </c>
      <c r="AL106" s="280" t="s">
        <v>245</v>
      </c>
      <c r="AN106" s="103"/>
      <c r="AO106" s="103"/>
      <c r="AP106" s="103"/>
      <c r="AQ106" s="103"/>
    </row>
    <row r="107" spans="1:43" s="102" customFormat="1" ht="21" customHeight="1" x14ac:dyDescent="0.35">
      <c r="A107" s="121">
        <v>6</v>
      </c>
      <c r="B107" s="121" t="s">
        <v>41</v>
      </c>
      <c r="C107" s="121" t="s">
        <v>177</v>
      </c>
      <c r="D107" s="121">
        <v>24.5</v>
      </c>
      <c r="E107" s="130">
        <v>50</v>
      </c>
      <c r="F107" s="133">
        <f t="shared" si="56"/>
        <v>36.692307692307693</v>
      </c>
      <c r="G107" s="132">
        <f t="shared" si="57"/>
        <v>29.4</v>
      </c>
      <c r="H107" s="133">
        <f t="shared" si="58"/>
        <v>11.007692307692308</v>
      </c>
      <c r="I107" s="130">
        <v>6</v>
      </c>
      <c r="J107" s="132">
        <f t="shared" si="59"/>
        <v>46.407692307692308</v>
      </c>
      <c r="K107" s="132">
        <f t="shared" si="60"/>
        <v>92.815384615384616</v>
      </c>
      <c r="L107" s="136">
        <v>30</v>
      </c>
      <c r="M107" s="149">
        <v>3</v>
      </c>
      <c r="N107" s="136">
        <f>(4.5*60/L107)*2+(9.5*60/90)*2</f>
        <v>30.666666666666664</v>
      </c>
      <c r="O107" s="266">
        <v>1</v>
      </c>
      <c r="P107" s="257">
        <f t="shared" si="61"/>
        <v>2</v>
      </c>
      <c r="Q107" s="239">
        <v>0</v>
      </c>
      <c r="R107" s="239">
        <v>0</v>
      </c>
      <c r="S107" s="281" t="s">
        <v>256</v>
      </c>
      <c r="T107" s="269"/>
      <c r="U107" s="269"/>
      <c r="V107" s="270"/>
      <c r="W107" s="268">
        <f>M115+R133</f>
        <v>44</v>
      </c>
      <c r="X107" s="249"/>
      <c r="Y107" s="249"/>
      <c r="Z107" s="249"/>
      <c r="AA107" s="249"/>
      <c r="AB107" s="249"/>
      <c r="AC107" s="249"/>
      <c r="AD107" s="249"/>
      <c r="AE107" s="249"/>
      <c r="AF107" s="249"/>
      <c r="AG107" s="251"/>
      <c r="AH107" s="261"/>
      <c r="AI107" s="271"/>
      <c r="AJ107" s="267" t="s">
        <v>250</v>
      </c>
      <c r="AK107" s="282" t="s">
        <v>249</v>
      </c>
      <c r="AL107" s="283">
        <f>M115+M133</f>
        <v>44</v>
      </c>
      <c r="AN107" s="103"/>
      <c r="AO107" s="103"/>
      <c r="AP107" s="103"/>
      <c r="AQ107" s="103"/>
    </row>
    <row r="108" spans="1:43" s="102" customFormat="1" ht="21" customHeight="1" x14ac:dyDescent="0.35">
      <c r="A108" s="121">
        <v>7</v>
      </c>
      <c r="B108" s="121" t="s">
        <v>43</v>
      </c>
      <c r="C108" s="121" t="s">
        <v>178</v>
      </c>
      <c r="D108" s="121">
        <v>24.2</v>
      </c>
      <c r="E108" s="130">
        <v>50</v>
      </c>
      <c r="F108" s="133">
        <f t="shared" si="56"/>
        <v>36.230769230769226</v>
      </c>
      <c r="G108" s="132">
        <f t="shared" si="57"/>
        <v>29.04</v>
      </c>
      <c r="H108" s="133">
        <f t="shared" si="58"/>
        <v>10.869230769230768</v>
      </c>
      <c r="I108" s="130">
        <v>6</v>
      </c>
      <c r="J108" s="132">
        <f t="shared" si="59"/>
        <v>45.909230769230767</v>
      </c>
      <c r="K108" s="132">
        <f t="shared" si="60"/>
        <v>91.818461538461534</v>
      </c>
      <c r="L108" s="136">
        <v>30</v>
      </c>
      <c r="M108" s="149">
        <v>3</v>
      </c>
      <c r="N108" s="136">
        <f>(4.5*60/L108)*2+(9.5*60/90)*2</f>
        <v>30.666666666666664</v>
      </c>
      <c r="O108" s="266">
        <v>1</v>
      </c>
      <c r="P108" s="257">
        <f t="shared" si="61"/>
        <v>2</v>
      </c>
      <c r="Q108" s="239">
        <v>0</v>
      </c>
      <c r="R108" s="239">
        <v>0</v>
      </c>
      <c r="S108" s="281" t="s">
        <v>257</v>
      </c>
      <c r="T108" s="269"/>
      <c r="U108" s="269"/>
      <c r="V108" s="270"/>
      <c r="W108" s="269">
        <v>105</v>
      </c>
      <c r="X108" s="249"/>
      <c r="Y108" s="249"/>
      <c r="Z108" s="249"/>
      <c r="AA108" s="249"/>
      <c r="AB108" s="249"/>
      <c r="AC108" s="249"/>
      <c r="AD108" s="249"/>
      <c r="AE108" s="249"/>
      <c r="AF108" s="249"/>
      <c r="AG108" s="251"/>
      <c r="AH108" s="261"/>
      <c r="AI108" s="271"/>
      <c r="AJ108" s="267" t="s">
        <v>252</v>
      </c>
      <c r="AK108" s="282" t="s">
        <v>249</v>
      </c>
      <c r="AL108" s="283">
        <f>(M115+M128+M133+M141)*1.1</f>
        <v>100.10000000000001</v>
      </c>
      <c r="AN108" s="103"/>
      <c r="AO108" s="103"/>
      <c r="AP108" s="103"/>
      <c r="AQ108" s="103"/>
    </row>
    <row r="109" spans="1:43" s="102" customFormat="1" ht="21" customHeight="1" x14ac:dyDescent="0.35">
      <c r="A109" s="121">
        <v>8</v>
      </c>
      <c r="B109" s="121" t="s">
        <v>45</v>
      </c>
      <c r="C109" s="121" t="s">
        <v>179</v>
      </c>
      <c r="D109" s="121">
        <v>25.6</v>
      </c>
      <c r="E109" s="130">
        <v>50</v>
      </c>
      <c r="F109" s="133">
        <f t="shared" si="56"/>
        <v>38.384615384615387</v>
      </c>
      <c r="G109" s="132">
        <f t="shared" si="57"/>
        <v>30.72</v>
      </c>
      <c r="H109" s="133">
        <f t="shared" si="58"/>
        <v>11.515384615384615</v>
      </c>
      <c r="I109" s="130">
        <v>6</v>
      </c>
      <c r="J109" s="132">
        <f t="shared" si="59"/>
        <v>48.235384615384618</v>
      </c>
      <c r="K109" s="132">
        <f t="shared" si="60"/>
        <v>96.470769230769235</v>
      </c>
      <c r="L109" s="136">
        <v>30</v>
      </c>
      <c r="M109" s="149">
        <v>3</v>
      </c>
      <c r="N109" s="136">
        <f>(4.5*60/L109)*2+(9.5*60/90)*2</f>
        <v>30.666666666666664</v>
      </c>
      <c r="O109" s="266">
        <v>1</v>
      </c>
      <c r="P109" s="257">
        <f t="shared" si="61"/>
        <v>2</v>
      </c>
      <c r="Q109" s="239">
        <v>0</v>
      </c>
      <c r="R109" s="239">
        <v>0</v>
      </c>
      <c r="S109" s="281" t="s">
        <v>258</v>
      </c>
      <c r="T109" s="269"/>
      <c r="U109" s="269"/>
      <c r="V109" s="270"/>
      <c r="W109" s="269">
        <f>W107*100/W108</f>
        <v>41.904761904761905</v>
      </c>
      <c r="X109" s="249"/>
      <c r="Y109" s="249"/>
      <c r="Z109" s="249"/>
      <c r="AA109" s="249"/>
      <c r="AB109" s="249"/>
      <c r="AC109" s="249"/>
      <c r="AD109" s="249"/>
      <c r="AE109" s="249"/>
      <c r="AF109" s="249"/>
      <c r="AG109" s="251"/>
      <c r="AH109" s="261"/>
      <c r="AI109" s="271"/>
      <c r="AJ109" s="267" t="s">
        <v>253</v>
      </c>
      <c r="AK109" s="282" t="s">
        <v>254</v>
      </c>
      <c r="AL109" s="284">
        <v>43.8</v>
      </c>
      <c r="AN109" s="103"/>
      <c r="AO109" s="103"/>
      <c r="AP109" s="103"/>
      <c r="AQ109" s="103"/>
    </row>
    <row r="110" spans="1:43" s="102" customFormat="1" ht="21" customHeight="1" x14ac:dyDescent="0.35">
      <c r="A110" s="121">
        <v>9</v>
      </c>
      <c r="B110" s="121" t="s">
        <v>47</v>
      </c>
      <c r="C110" s="230" t="s">
        <v>70</v>
      </c>
      <c r="D110" s="121">
        <v>45</v>
      </c>
      <c r="E110" s="130">
        <v>55</v>
      </c>
      <c r="F110" s="133">
        <f>D110/1.2-1</f>
        <v>36.5</v>
      </c>
      <c r="G110" s="132">
        <f t="shared" si="57"/>
        <v>49.090909090909093</v>
      </c>
      <c r="H110" s="133">
        <f t="shared" si="58"/>
        <v>10.95</v>
      </c>
      <c r="I110" s="130">
        <v>6</v>
      </c>
      <c r="J110" s="132">
        <f t="shared" si="59"/>
        <v>66.040909090909096</v>
      </c>
      <c r="K110" s="132">
        <f t="shared" si="60"/>
        <v>132.08181818181819</v>
      </c>
      <c r="L110" s="176">
        <v>60</v>
      </c>
      <c r="M110" s="149">
        <v>2</v>
      </c>
      <c r="N110" s="176">
        <f>(4*60/L110)*2+(8*60/120)*2</f>
        <v>16</v>
      </c>
      <c r="O110" s="266">
        <v>1</v>
      </c>
      <c r="P110" s="273">
        <f t="shared" si="61"/>
        <v>1</v>
      </c>
      <c r="Q110" s="239">
        <v>0</v>
      </c>
      <c r="R110" s="239">
        <v>0</v>
      </c>
      <c r="S110" s="103"/>
      <c r="T110" s="251"/>
      <c r="U110" s="251"/>
      <c r="V110" s="250"/>
      <c r="W110" s="251"/>
      <c r="X110" s="249"/>
      <c r="Y110" s="249"/>
      <c r="Z110" s="249"/>
      <c r="AA110" s="249"/>
      <c r="AB110" s="249"/>
      <c r="AC110" s="249"/>
      <c r="AD110" s="249"/>
      <c r="AE110" s="249"/>
      <c r="AF110" s="249"/>
      <c r="AG110" s="251"/>
      <c r="AH110" s="261"/>
      <c r="AI110" s="271"/>
      <c r="AJ110" s="275"/>
      <c r="AK110" s="276"/>
      <c r="AL110" s="276"/>
      <c r="AN110" s="103"/>
      <c r="AO110" s="103"/>
      <c r="AP110" s="103"/>
      <c r="AQ110" s="103"/>
    </row>
    <row r="111" spans="1:43" s="102" customFormat="1" ht="21" customHeight="1" x14ac:dyDescent="0.35">
      <c r="A111" s="121">
        <v>10</v>
      </c>
      <c r="B111" s="121" t="s">
        <v>48</v>
      </c>
      <c r="C111" s="121" t="s">
        <v>49</v>
      </c>
      <c r="D111" s="121">
        <v>68</v>
      </c>
      <c r="E111" s="130">
        <v>55</v>
      </c>
      <c r="F111" s="133">
        <f>D111/1.2-1</f>
        <v>55.666666666666671</v>
      </c>
      <c r="G111" s="132">
        <f t="shared" si="57"/>
        <v>74.181818181818187</v>
      </c>
      <c r="H111" s="133">
        <f t="shared" si="58"/>
        <v>16.7</v>
      </c>
      <c r="I111" s="130">
        <v>6</v>
      </c>
      <c r="J111" s="132">
        <f t="shared" si="59"/>
        <v>96.88181818181819</v>
      </c>
      <c r="K111" s="132">
        <f t="shared" si="60"/>
        <v>193.76363636363638</v>
      </c>
      <c r="L111" s="176">
        <v>60</v>
      </c>
      <c r="M111" s="149">
        <v>3</v>
      </c>
      <c r="N111" s="176">
        <f>(4*60/L111)*2+(8*60/120)*2</f>
        <v>16</v>
      </c>
      <c r="O111" s="285">
        <v>0</v>
      </c>
      <c r="P111" s="273">
        <f t="shared" si="61"/>
        <v>3</v>
      </c>
      <c r="Q111" s="239">
        <v>0</v>
      </c>
      <c r="R111" s="239">
        <v>0</v>
      </c>
      <c r="S111" s="103"/>
      <c r="T111" s="251"/>
      <c r="U111" s="251"/>
      <c r="V111" s="277"/>
      <c r="W111" s="251"/>
      <c r="X111" s="249"/>
      <c r="Y111" s="249"/>
      <c r="Z111" s="249"/>
      <c r="AA111" s="249"/>
      <c r="AB111" s="249"/>
      <c r="AC111" s="249"/>
      <c r="AD111" s="249"/>
      <c r="AE111" s="249"/>
      <c r="AF111" s="249"/>
      <c r="AG111" s="251"/>
      <c r="AH111" s="261"/>
      <c r="AI111" s="262"/>
      <c r="AJ111" s="275" t="s">
        <v>259</v>
      </c>
      <c r="AK111" s="276"/>
      <c r="AL111" s="276"/>
      <c r="AN111" s="103"/>
      <c r="AO111" s="103"/>
      <c r="AP111" s="103"/>
      <c r="AQ111" s="103"/>
    </row>
    <row r="112" spans="1:43" s="102" customFormat="1" ht="21" customHeight="1" x14ac:dyDescent="0.35">
      <c r="A112" s="121">
        <v>11</v>
      </c>
      <c r="B112" s="121" t="s">
        <v>50</v>
      </c>
      <c r="C112" s="121" t="s">
        <v>71</v>
      </c>
      <c r="D112" s="121">
        <v>69</v>
      </c>
      <c r="E112" s="130">
        <v>55</v>
      </c>
      <c r="F112" s="133">
        <f>D112/1.2-1</f>
        <v>56.5</v>
      </c>
      <c r="G112" s="132">
        <f t="shared" si="57"/>
        <v>75.272727272727266</v>
      </c>
      <c r="H112" s="133">
        <f t="shared" si="58"/>
        <v>16.95</v>
      </c>
      <c r="I112" s="130">
        <v>6</v>
      </c>
      <c r="J112" s="132">
        <f t="shared" si="59"/>
        <v>98.222727272727269</v>
      </c>
      <c r="K112" s="132">
        <f t="shared" si="60"/>
        <v>196.44545454545454</v>
      </c>
      <c r="L112" s="176">
        <v>60</v>
      </c>
      <c r="M112" s="149">
        <v>3</v>
      </c>
      <c r="N112" s="176">
        <f>(4*60/L112)*2+(8*60/120)*2</f>
        <v>16</v>
      </c>
      <c r="O112" s="285">
        <v>0</v>
      </c>
      <c r="P112" s="273">
        <f t="shared" si="61"/>
        <v>3</v>
      </c>
      <c r="Q112" s="239">
        <v>0</v>
      </c>
      <c r="R112" s="239">
        <v>0</v>
      </c>
      <c r="S112" s="103"/>
      <c r="T112" s="251"/>
      <c r="U112" s="251"/>
      <c r="V112" s="277"/>
      <c r="W112" s="251"/>
      <c r="X112" s="249"/>
      <c r="Y112" s="249"/>
      <c r="Z112" s="249"/>
      <c r="AA112" s="249"/>
      <c r="AB112" s="249"/>
      <c r="AC112" s="249"/>
      <c r="AD112" s="249"/>
      <c r="AE112" s="249"/>
      <c r="AF112" s="249"/>
      <c r="AG112" s="251"/>
      <c r="AH112" s="261"/>
      <c r="AI112" s="271"/>
      <c r="AJ112" s="278" t="s">
        <v>244</v>
      </c>
      <c r="AK112" s="279" t="s">
        <v>2</v>
      </c>
      <c r="AL112" s="280" t="s">
        <v>245</v>
      </c>
      <c r="AN112" s="103"/>
      <c r="AO112" s="103"/>
      <c r="AP112" s="103"/>
      <c r="AQ112" s="103"/>
    </row>
    <row r="113" spans="1:43" s="102" customFormat="1" ht="21" customHeight="1" x14ac:dyDescent="0.35">
      <c r="A113" s="121">
        <v>12</v>
      </c>
      <c r="B113" s="121" t="s">
        <v>53</v>
      </c>
      <c r="C113" s="121" t="s">
        <v>54</v>
      </c>
      <c r="D113" s="121">
        <v>67</v>
      </c>
      <c r="E113" s="130">
        <v>55</v>
      </c>
      <c r="F113" s="133">
        <f>D113/1.2</f>
        <v>55.833333333333336</v>
      </c>
      <c r="G113" s="132">
        <f t="shared" si="57"/>
        <v>73.090909090909093</v>
      </c>
      <c r="H113" s="133">
        <f>F113*0.3</f>
        <v>16.75</v>
      </c>
      <c r="I113" s="130">
        <v>5</v>
      </c>
      <c r="J113" s="132">
        <f>G113+H113+I113</f>
        <v>94.840909090909093</v>
      </c>
      <c r="K113" s="132">
        <f>J113*2</f>
        <v>189.68181818181819</v>
      </c>
      <c r="L113" s="176">
        <v>60</v>
      </c>
      <c r="M113" s="149">
        <v>3</v>
      </c>
      <c r="N113" s="176">
        <f>(4*60/L113)*2+(8*60/120)*2</f>
        <v>16</v>
      </c>
      <c r="O113" s="285">
        <v>0</v>
      </c>
      <c r="P113" s="273">
        <f t="shared" si="61"/>
        <v>3</v>
      </c>
      <c r="Q113" s="239">
        <v>0</v>
      </c>
      <c r="R113" s="239">
        <v>0</v>
      </c>
      <c r="S113" s="103"/>
      <c r="T113" s="251"/>
      <c r="U113" s="251"/>
      <c r="V113" s="277"/>
      <c r="W113" s="251"/>
      <c r="X113" s="249"/>
      <c r="Y113" s="249"/>
      <c r="Z113" s="249"/>
      <c r="AA113" s="249"/>
      <c r="AB113" s="249"/>
      <c r="AC113" s="249"/>
      <c r="AD113" s="249"/>
      <c r="AE113" s="249"/>
      <c r="AF113" s="249"/>
      <c r="AG113" s="251"/>
      <c r="AH113" s="261"/>
      <c r="AI113" s="262"/>
      <c r="AJ113" s="267" t="s">
        <v>250</v>
      </c>
      <c r="AK113" s="282" t="s">
        <v>249</v>
      </c>
      <c r="AL113" s="286">
        <v>51</v>
      </c>
      <c r="AM113" s="102">
        <f>AL107*1.1</f>
        <v>48.400000000000006</v>
      </c>
      <c r="AN113" s="103"/>
      <c r="AO113" s="103"/>
      <c r="AP113" s="103"/>
      <c r="AQ113" s="103"/>
    </row>
    <row r="114" spans="1:43" s="102" customFormat="1" ht="21" customHeight="1" x14ac:dyDescent="0.35">
      <c r="A114" s="121">
        <v>13</v>
      </c>
      <c r="B114" s="121" t="s">
        <v>55</v>
      </c>
      <c r="C114" s="121" t="s">
        <v>56</v>
      </c>
      <c r="D114" s="121">
        <v>60</v>
      </c>
      <c r="E114" s="130">
        <v>55</v>
      </c>
      <c r="F114" s="133">
        <f>D114/1.2</f>
        <v>50</v>
      </c>
      <c r="G114" s="132">
        <f t="shared" si="57"/>
        <v>65.454545454545453</v>
      </c>
      <c r="H114" s="133">
        <f>F114*0.3</f>
        <v>15</v>
      </c>
      <c r="I114" s="130">
        <v>10</v>
      </c>
      <c r="J114" s="132">
        <f>G114+H114+I114</f>
        <v>90.454545454545453</v>
      </c>
      <c r="K114" s="132">
        <f>J114*2</f>
        <v>180.90909090909091</v>
      </c>
      <c r="L114" s="176">
        <v>60</v>
      </c>
      <c r="M114" s="149">
        <v>3</v>
      </c>
      <c r="N114" s="176">
        <f>(4*60/L114)*2+(8*60/120)*2</f>
        <v>16</v>
      </c>
      <c r="O114" s="285">
        <v>0</v>
      </c>
      <c r="P114" s="273">
        <f t="shared" si="61"/>
        <v>3</v>
      </c>
      <c r="Q114" s="239">
        <v>0</v>
      </c>
      <c r="R114" s="239">
        <v>0</v>
      </c>
      <c r="S114" s="103"/>
      <c r="T114" s="247"/>
      <c r="U114" s="431"/>
      <c r="V114" s="431"/>
      <c r="W114" s="251"/>
      <c r="X114" s="251"/>
      <c r="Y114" s="251"/>
      <c r="Z114" s="251"/>
      <c r="AA114" s="251"/>
      <c r="AB114" s="251"/>
      <c r="AC114" s="251"/>
      <c r="AD114" s="251"/>
      <c r="AE114" s="251"/>
      <c r="AF114" s="251"/>
      <c r="AG114" s="251"/>
      <c r="AH114" s="251"/>
      <c r="AI114" s="251"/>
      <c r="AJ114" s="267" t="s">
        <v>252</v>
      </c>
      <c r="AK114" s="282" t="s">
        <v>249</v>
      </c>
      <c r="AL114" s="283">
        <f>AL108</f>
        <v>100.10000000000001</v>
      </c>
      <c r="AN114" s="103"/>
      <c r="AO114" s="103"/>
      <c r="AP114" s="103"/>
      <c r="AQ114" s="103"/>
    </row>
    <row r="115" spans="1:43" s="102" customFormat="1" ht="21" customHeight="1" x14ac:dyDescent="0.35">
      <c r="A115" s="436" t="s">
        <v>260</v>
      </c>
      <c r="B115" s="436"/>
      <c r="C115" s="121"/>
      <c r="D115" s="287">
        <f>SUM(D102:D114)</f>
        <v>533.79999999999995</v>
      </c>
      <c r="E115" s="130"/>
      <c r="F115" s="133"/>
      <c r="G115" s="132"/>
      <c r="H115" s="133"/>
      <c r="I115" s="130"/>
      <c r="J115" s="132"/>
      <c r="K115" s="132"/>
      <c r="L115" s="176"/>
      <c r="M115" s="287">
        <f>SUM(M102:M114)</f>
        <v>40</v>
      </c>
      <c r="N115" s="287">
        <f t="shared" ref="N115:R115" si="62">SUM(N102:N114)</f>
        <v>336.16666666666663</v>
      </c>
      <c r="O115" s="287">
        <f t="shared" si="62"/>
        <v>15</v>
      </c>
      <c r="P115" s="287">
        <f t="shared" si="62"/>
        <v>25</v>
      </c>
      <c r="Q115" s="287">
        <f t="shared" si="62"/>
        <v>0</v>
      </c>
      <c r="R115" s="287">
        <f t="shared" si="62"/>
        <v>0</v>
      </c>
      <c r="S115" s="103"/>
      <c r="T115" s="247"/>
      <c r="U115" s="248"/>
      <c r="V115" s="248"/>
      <c r="W115" s="251"/>
      <c r="X115" s="251"/>
      <c r="Y115" s="251"/>
      <c r="Z115" s="251"/>
      <c r="AA115" s="251"/>
      <c r="AB115" s="251"/>
      <c r="AC115" s="251"/>
      <c r="AD115" s="251"/>
      <c r="AE115" s="251"/>
      <c r="AF115" s="251"/>
      <c r="AG115" s="251"/>
      <c r="AH115" s="251"/>
      <c r="AI115" s="251"/>
      <c r="AJ115" s="267" t="s">
        <v>253</v>
      </c>
      <c r="AK115" s="282" t="s">
        <v>254</v>
      </c>
      <c r="AL115" s="269">
        <f>AL113*100/AL114</f>
        <v>50.949050949050942</v>
      </c>
      <c r="AN115" s="103"/>
      <c r="AO115" s="103"/>
      <c r="AP115" s="103"/>
      <c r="AQ115" s="103"/>
    </row>
    <row r="116" spans="1:43" s="102" customFormat="1" ht="21" customHeight="1" x14ac:dyDescent="0.35">
      <c r="A116" s="120">
        <v>1.2</v>
      </c>
      <c r="B116" s="419" t="s">
        <v>214</v>
      </c>
      <c r="C116" s="419"/>
      <c r="D116" s="419"/>
      <c r="E116" s="419"/>
      <c r="F116" s="419"/>
      <c r="G116" s="419"/>
      <c r="H116" s="419"/>
      <c r="I116" s="419"/>
      <c r="J116" s="419"/>
      <c r="K116" s="419"/>
      <c r="L116" s="419"/>
      <c r="M116" s="419"/>
      <c r="N116" s="419"/>
      <c r="O116" s="419"/>
      <c r="P116" s="288"/>
      <c r="Q116" s="288"/>
      <c r="R116" s="288"/>
      <c r="S116" s="103">
        <v>2030</v>
      </c>
      <c r="T116" s="251"/>
      <c r="U116" s="251"/>
      <c r="V116" s="277"/>
      <c r="W116" s="251"/>
      <c r="X116" s="249"/>
      <c r="Y116" s="249"/>
      <c r="Z116" s="249"/>
      <c r="AA116" s="249"/>
      <c r="AB116" s="249"/>
      <c r="AC116" s="249"/>
      <c r="AD116" s="249"/>
      <c r="AE116" s="249"/>
      <c r="AF116" s="249"/>
      <c r="AG116" s="251"/>
      <c r="AH116" s="261"/>
      <c r="AI116" s="262"/>
      <c r="AJ116" s="146"/>
      <c r="AK116" s="103"/>
      <c r="AL116" s="276"/>
      <c r="AN116" s="103"/>
      <c r="AO116" s="103"/>
      <c r="AP116" s="103"/>
      <c r="AQ116" s="103"/>
    </row>
    <row r="117" spans="1:43" s="102" customFormat="1" ht="21" customHeight="1" thickBot="1" x14ac:dyDescent="0.4">
      <c r="A117" s="121">
        <v>1</v>
      </c>
      <c r="B117" s="121" t="s">
        <v>78</v>
      </c>
      <c r="C117" s="121" t="s">
        <v>79</v>
      </c>
      <c r="D117" s="121">
        <v>78</v>
      </c>
      <c r="E117" s="130">
        <v>55</v>
      </c>
      <c r="F117" s="133">
        <f t="shared" ref="F117:F126" si="63">D117/1.2-1</f>
        <v>64</v>
      </c>
      <c r="G117" s="132">
        <f t="shared" ref="G117:G127" si="64">D117*60/E117</f>
        <v>85.090909090909093</v>
      </c>
      <c r="H117" s="133">
        <f t="shared" ref="H117:H121" si="65">F117*0.3</f>
        <v>19.2</v>
      </c>
      <c r="I117" s="130">
        <v>6</v>
      </c>
      <c r="J117" s="132">
        <f t="shared" ref="J117:J121" si="66">G117+H117+I117</f>
        <v>110.2909090909091</v>
      </c>
      <c r="K117" s="132">
        <f t="shared" ref="K117:K121" si="67">J117*2</f>
        <v>220.58181818181819</v>
      </c>
      <c r="L117" s="153">
        <v>40</v>
      </c>
      <c r="M117" s="149">
        <v>6</v>
      </c>
      <c r="N117" s="153">
        <f>(3*60/L117)*2+(11*60/60)*2</f>
        <v>31</v>
      </c>
      <c r="O117" s="289">
        <v>3</v>
      </c>
      <c r="P117" s="257">
        <f t="shared" si="61"/>
        <v>3</v>
      </c>
      <c r="Q117" s="239">
        <v>0</v>
      </c>
      <c r="R117" s="239">
        <v>0</v>
      </c>
      <c r="S117" s="290" t="s">
        <v>261</v>
      </c>
      <c r="T117" s="251"/>
      <c r="U117" s="251"/>
      <c r="V117" s="277"/>
      <c r="W117" s="251"/>
      <c r="X117" s="249"/>
      <c r="Y117" s="249"/>
      <c r="Z117" s="249"/>
      <c r="AA117" s="249"/>
      <c r="AB117" s="249"/>
      <c r="AC117" s="249"/>
      <c r="AD117" s="249"/>
      <c r="AE117" s="249"/>
      <c r="AF117" s="249"/>
      <c r="AG117" s="251"/>
      <c r="AH117" s="261"/>
      <c r="AI117" s="262"/>
      <c r="AJ117" s="146"/>
      <c r="AK117" s="103"/>
      <c r="AL117" s="276"/>
      <c r="AN117" s="103"/>
      <c r="AO117" s="103"/>
      <c r="AP117" s="103"/>
      <c r="AQ117" s="103"/>
    </row>
    <row r="118" spans="1:43" s="102" customFormat="1" ht="21" customHeight="1" thickBot="1" x14ac:dyDescent="0.4">
      <c r="A118" s="121">
        <v>2</v>
      </c>
      <c r="B118" s="121" t="s">
        <v>80</v>
      </c>
      <c r="C118" s="121" t="s">
        <v>180</v>
      </c>
      <c r="D118" s="121">
        <v>64.5</v>
      </c>
      <c r="E118" s="130">
        <v>55</v>
      </c>
      <c r="F118" s="133">
        <f t="shared" si="63"/>
        <v>52.75</v>
      </c>
      <c r="G118" s="132">
        <f t="shared" si="64"/>
        <v>70.36363636363636</v>
      </c>
      <c r="H118" s="133">
        <f t="shared" si="65"/>
        <v>15.824999999999999</v>
      </c>
      <c r="I118" s="130">
        <v>6</v>
      </c>
      <c r="J118" s="132">
        <f t="shared" si="66"/>
        <v>92.188636363636363</v>
      </c>
      <c r="K118" s="132">
        <f t="shared" si="67"/>
        <v>184.37727272727273</v>
      </c>
      <c r="L118" s="153">
        <v>40</v>
      </c>
      <c r="M118" s="149">
        <v>5</v>
      </c>
      <c r="N118" s="153">
        <f>(3*60/L118)*2+(11*60/60)*2</f>
        <v>31</v>
      </c>
      <c r="O118" s="289">
        <v>4</v>
      </c>
      <c r="P118" s="257">
        <f t="shared" si="61"/>
        <v>1</v>
      </c>
      <c r="Q118" s="239">
        <v>0</v>
      </c>
      <c r="R118" s="239">
        <v>0</v>
      </c>
      <c r="S118" s="291" t="s">
        <v>244</v>
      </c>
      <c r="T118" s="292" t="s">
        <v>2</v>
      </c>
      <c r="U118" s="293" t="s">
        <v>245</v>
      </c>
      <c r="V118" s="277"/>
      <c r="W118" s="251"/>
      <c r="X118" s="249"/>
      <c r="Y118" s="249"/>
      <c r="Z118" s="249"/>
      <c r="AA118" s="249"/>
      <c r="AB118" s="249"/>
      <c r="AC118" s="249"/>
      <c r="AD118" s="249"/>
      <c r="AE118" s="249"/>
      <c r="AF118" s="249"/>
      <c r="AG118" s="251"/>
      <c r="AH118" s="261"/>
      <c r="AI118" s="262"/>
      <c r="AJ118" s="146" t="s">
        <v>262</v>
      </c>
      <c r="AK118" s="103"/>
      <c r="AL118" s="276"/>
      <c r="AN118" s="103"/>
      <c r="AO118" s="103"/>
      <c r="AP118" s="103"/>
      <c r="AQ118" s="103"/>
    </row>
    <row r="119" spans="1:43" s="102" customFormat="1" ht="21" customHeight="1" thickBot="1" x14ac:dyDescent="0.4">
      <c r="A119" s="121">
        <v>3</v>
      </c>
      <c r="B119" s="121" t="s">
        <v>81</v>
      </c>
      <c r="C119" s="121" t="s">
        <v>181</v>
      </c>
      <c r="D119" s="121">
        <v>40</v>
      </c>
      <c r="E119" s="130">
        <v>55</v>
      </c>
      <c r="F119" s="133">
        <f t="shared" si="63"/>
        <v>32.333333333333336</v>
      </c>
      <c r="G119" s="132">
        <f t="shared" si="64"/>
        <v>43.636363636363633</v>
      </c>
      <c r="H119" s="133">
        <f t="shared" si="65"/>
        <v>9.7000000000000011</v>
      </c>
      <c r="I119" s="130">
        <v>6</v>
      </c>
      <c r="J119" s="132">
        <f t="shared" si="66"/>
        <v>59.336363636363636</v>
      </c>
      <c r="K119" s="132">
        <f t="shared" si="67"/>
        <v>118.67272727272727</v>
      </c>
      <c r="L119" s="167">
        <v>60</v>
      </c>
      <c r="M119" s="149">
        <v>2</v>
      </c>
      <c r="N119" s="167">
        <f>(3*60/L119)*2+(11*60/120)*2</f>
        <v>17</v>
      </c>
      <c r="O119" s="289">
        <v>0</v>
      </c>
      <c r="P119" s="257">
        <f t="shared" si="61"/>
        <v>2</v>
      </c>
      <c r="Q119" s="239">
        <v>0</v>
      </c>
      <c r="R119" s="239">
        <v>0</v>
      </c>
      <c r="S119" s="263" t="s">
        <v>263</v>
      </c>
      <c r="T119" s="264" t="s">
        <v>249</v>
      </c>
      <c r="U119" s="265">
        <f>P115+2</f>
        <v>27</v>
      </c>
      <c r="V119" s="277" t="s">
        <v>264</v>
      </c>
      <c r="W119" s="251"/>
      <c r="X119" s="249"/>
      <c r="Y119" s="249"/>
      <c r="Z119" s="249"/>
      <c r="AA119" s="249"/>
      <c r="AB119" s="249"/>
      <c r="AC119" s="249"/>
      <c r="AD119" s="249"/>
      <c r="AE119" s="249"/>
      <c r="AF119" s="249"/>
      <c r="AG119" s="251"/>
      <c r="AH119" s="261"/>
      <c r="AI119" s="96"/>
      <c r="AJ119" s="146"/>
      <c r="AK119" s="103"/>
      <c r="AL119" s="276"/>
      <c r="AN119" s="103"/>
      <c r="AO119" s="103"/>
      <c r="AP119" s="103"/>
      <c r="AQ119" s="103"/>
    </row>
    <row r="120" spans="1:43" s="102" customFormat="1" ht="21" customHeight="1" thickBot="1" x14ac:dyDescent="0.4">
      <c r="A120" s="121">
        <v>4</v>
      </c>
      <c r="B120" s="121" t="s">
        <v>82</v>
      </c>
      <c r="C120" s="121" t="s">
        <v>182</v>
      </c>
      <c r="D120" s="121">
        <v>50</v>
      </c>
      <c r="E120" s="130">
        <v>55</v>
      </c>
      <c r="F120" s="133">
        <f t="shared" si="63"/>
        <v>40.666666666666671</v>
      </c>
      <c r="G120" s="132">
        <f t="shared" si="64"/>
        <v>54.545454545454547</v>
      </c>
      <c r="H120" s="133">
        <f t="shared" si="65"/>
        <v>12.200000000000001</v>
      </c>
      <c r="I120" s="130">
        <v>6</v>
      </c>
      <c r="J120" s="132">
        <f t="shared" si="66"/>
        <v>72.74545454545455</v>
      </c>
      <c r="K120" s="132">
        <f t="shared" si="67"/>
        <v>145.4909090909091</v>
      </c>
      <c r="L120" s="153">
        <v>40</v>
      </c>
      <c r="M120" s="149">
        <v>4</v>
      </c>
      <c r="N120" s="153">
        <f>(3*60/L120)*2+(11*60/60)*2</f>
        <v>31</v>
      </c>
      <c r="O120" s="294">
        <v>2</v>
      </c>
      <c r="P120" s="257">
        <f t="shared" si="61"/>
        <v>2</v>
      </c>
      <c r="Q120" s="239">
        <v>2</v>
      </c>
      <c r="R120" s="239">
        <v>0</v>
      </c>
      <c r="S120" s="263" t="s">
        <v>251</v>
      </c>
      <c r="T120" s="264" t="s">
        <v>249</v>
      </c>
      <c r="U120" s="265">
        <f>(M115+M128)*1.1</f>
        <v>80.300000000000011</v>
      </c>
      <c r="V120" s="277"/>
      <c r="W120" s="251"/>
      <c r="X120" s="249"/>
      <c r="Y120" s="249"/>
      <c r="Z120" s="249"/>
      <c r="AA120" s="249"/>
      <c r="AB120" s="249"/>
      <c r="AC120" s="249"/>
      <c r="AD120" s="249"/>
      <c r="AE120" s="249"/>
      <c r="AF120" s="249"/>
      <c r="AG120" s="251"/>
      <c r="AH120" s="261"/>
      <c r="AI120" s="262"/>
      <c r="AJ120" s="146"/>
      <c r="AK120" s="103"/>
      <c r="AL120" s="276"/>
      <c r="AN120" s="103"/>
      <c r="AO120" s="103"/>
      <c r="AP120" s="103"/>
      <c r="AQ120" s="103"/>
    </row>
    <row r="121" spans="1:43" s="102" customFormat="1" ht="21" customHeight="1" thickBot="1" x14ac:dyDescent="0.4">
      <c r="A121" s="121">
        <v>5</v>
      </c>
      <c r="B121" s="121" t="s">
        <v>83</v>
      </c>
      <c r="C121" s="121" t="s">
        <v>183</v>
      </c>
      <c r="D121" s="121">
        <v>78</v>
      </c>
      <c r="E121" s="130">
        <v>55</v>
      </c>
      <c r="F121" s="133">
        <f t="shared" si="63"/>
        <v>64</v>
      </c>
      <c r="G121" s="132">
        <f t="shared" si="64"/>
        <v>85.090909090909093</v>
      </c>
      <c r="H121" s="133">
        <f t="shared" si="65"/>
        <v>19.2</v>
      </c>
      <c r="I121" s="130">
        <v>6</v>
      </c>
      <c r="J121" s="132">
        <f t="shared" si="66"/>
        <v>110.2909090909091</v>
      </c>
      <c r="K121" s="132">
        <f t="shared" si="67"/>
        <v>220.58181818181819</v>
      </c>
      <c r="L121" s="167">
        <v>60</v>
      </c>
      <c r="M121" s="149">
        <v>4</v>
      </c>
      <c r="N121" s="167">
        <f>(3*60/L121)*2+(11*60/120)*2</f>
        <v>17</v>
      </c>
      <c r="O121" s="285">
        <v>0</v>
      </c>
      <c r="P121" s="257">
        <f t="shared" si="61"/>
        <v>4</v>
      </c>
      <c r="Q121" s="239">
        <v>0</v>
      </c>
      <c r="R121" s="239">
        <v>0</v>
      </c>
      <c r="S121" s="263" t="s">
        <v>253</v>
      </c>
      <c r="T121" s="264" t="s">
        <v>254</v>
      </c>
      <c r="U121" s="269">
        <f>U119*100/U120</f>
        <v>33.623910336239099</v>
      </c>
      <c r="V121" s="277"/>
      <c r="W121" s="251"/>
      <c r="X121" s="249"/>
      <c r="Y121" s="249"/>
      <c r="Z121" s="249"/>
      <c r="AA121" s="249"/>
      <c r="AB121" s="249"/>
      <c r="AC121" s="249"/>
      <c r="AD121" s="249"/>
      <c r="AE121" s="249"/>
      <c r="AF121" s="249"/>
      <c r="AG121" s="251"/>
      <c r="AH121" s="261"/>
      <c r="AI121" s="262"/>
      <c r="AJ121" s="146"/>
      <c r="AK121" s="103"/>
      <c r="AL121" s="276"/>
      <c r="AN121" s="103"/>
      <c r="AO121" s="103"/>
      <c r="AP121" s="103"/>
      <c r="AQ121" s="103"/>
    </row>
    <row r="122" spans="1:43" s="102" customFormat="1" ht="21" customHeight="1" thickBot="1" x14ac:dyDescent="0.4">
      <c r="A122" s="121">
        <v>6</v>
      </c>
      <c r="B122" s="121" t="s">
        <v>93</v>
      </c>
      <c r="C122" s="121" t="s">
        <v>94</v>
      </c>
      <c r="D122" s="121">
        <v>36.5</v>
      </c>
      <c r="E122" s="130">
        <v>55</v>
      </c>
      <c r="F122" s="133">
        <f t="shared" si="63"/>
        <v>29.416666666666668</v>
      </c>
      <c r="G122" s="132">
        <f t="shared" si="64"/>
        <v>39.81818181818182</v>
      </c>
      <c r="H122" s="133">
        <f>F122*0.3</f>
        <v>8.8249999999999993</v>
      </c>
      <c r="I122" s="130">
        <v>6</v>
      </c>
      <c r="J122" s="132">
        <f>G122+H122+I122</f>
        <v>54.643181818181816</v>
      </c>
      <c r="K122" s="132">
        <f>J122*2</f>
        <v>109.28636363636363</v>
      </c>
      <c r="L122" s="167">
        <v>60</v>
      </c>
      <c r="M122" s="237">
        <v>2</v>
      </c>
      <c r="N122" s="167">
        <f>(3*60/L122)*2+(11*60/120)*2</f>
        <v>17</v>
      </c>
      <c r="O122" s="285">
        <v>0</v>
      </c>
      <c r="P122" s="257">
        <f t="shared" si="61"/>
        <v>2</v>
      </c>
      <c r="Q122" s="239">
        <v>0</v>
      </c>
      <c r="R122" s="239">
        <v>0</v>
      </c>
      <c r="S122" s="103"/>
      <c r="T122" s="251"/>
      <c r="U122" s="251"/>
      <c r="V122" s="277"/>
      <c r="W122" s="251"/>
      <c r="X122" s="249"/>
      <c r="Y122" s="249"/>
      <c r="Z122" s="249"/>
      <c r="AA122" s="249"/>
      <c r="AB122" s="249"/>
      <c r="AC122" s="249"/>
      <c r="AD122" s="249"/>
      <c r="AE122" s="249"/>
      <c r="AF122" s="249"/>
      <c r="AG122" s="251"/>
      <c r="AH122" s="261"/>
      <c r="AI122" s="262"/>
      <c r="AJ122" s="146"/>
      <c r="AK122" s="103"/>
      <c r="AL122" s="276"/>
      <c r="AN122" s="103"/>
      <c r="AO122" s="103"/>
      <c r="AP122" s="103"/>
      <c r="AQ122" s="103"/>
    </row>
    <row r="123" spans="1:43" s="102" customFormat="1" ht="21" customHeight="1" thickBot="1" x14ac:dyDescent="0.4">
      <c r="A123" s="121">
        <v>7</v>
      </c>
      <c r="B123" s="121" t="s">
        <v>84</v>
      </c>
      <c r="C123" s="121" t="s">
        <v>184</v>
      </c>
      <c r="D123" s="121">
        <v>35</v>
      </c>
      <c r="E123" s="130">
        <v>55</v>
      </c>
      <c r="F123" s="133">
        <f t="shared" si="63"/>
        <v>28.166666666666668</v>
      </c>
      <c r="G123" s="132">
        <f t="shared" si="64"/>
        <v>38.18181818181818</v>
      </c>
      <c r="H123" s="133">
        <f t="shared" ref="H123:H124" si="68">F123*0.3</f>
        <v>8.4499999999999993</v>
      </c>
      <c r="I123" s="130">
        <v>6</v>
      </c>
      <c r="J123" s="132">
        <f t="shared" ref="J123:J124" si="69">G123+H123+I123</f>
        <v>52.631818181818176</v>
      </c>
      <c r="K123" s="132">
        <f t="shared" ref="K123:K124" si="70">J123*2</f>
        <v>105.26363636363635</v>
      </c>
      <c r="L123" s="167">
        <v>60</v>
      </c>
      <c r="M123" s="149">
        <v>2</v>
      </c>
      <c r="N123" s="167">
        <f>(3*60/L123)*2+(11*60/120)*2</f>
        <v>17</v>
      </c>
      <c r="O123" s="285">
        <v>0</v>
      </c>
      <c r="P123" s="257">
        <f t="shared" si="61"/>
        <v>2</v>
      </c>
      <c r="Q123" s="239">
        <v>0</v>
      </c>
      <c r="R123" s="239">
        <v>0</v>
      </c>
      <c r="S123" s="291" t="s">
        <v>244</v>
      </c>
      <c r="T123" s="292" t="s">
        <v>2</v>
      </c>
      <c r="U123" s="293" t="s">
        <v>245</v>
      </c>
      <c r="V123" s="277"/>
      <c r="W123" s="251"/>
      <c r="X123" s="249"/>
      <c r="Y123" s="249"/>
      <c r="Z123" s="249"/>
      <c r="AA123" s="249"/>
      <c r="AB123" s="249"/>
      <c r="AC123" s="249"/>
      <c r="AD123" s="249"/>
      <c r="AE123" s="249"/>
      <c r="AF123" s="249"/>
      <c r="AG123" s="251"/>
      <c r="AH123" s="261"/>
      <c r="AI123" s="262"/>
      <c r="AJ123" s="146"/>
      <c r="AK123" s="103"/>
      <c r="AL123" s="276"/>
      <c r="AN123" s="103"/>
      <c r="AO123" s="103"/>
      <c r="AP123" s="103"/>
      <c r="AQ123" s="103"/>
    </row>
    <row r="124" spans="1:43" s="102" customFormat="1" ht="21" customHeight="1" thickBot="1" x14ac:dyDescent="0.4">
      <c r="A124" s="121">
        <v>8</v>
      </c>
      <c r="B124" s="121" t="s">
        <v>185</v>
      </c>
      <c r="C124" s="121" t="s">
        <v>186</v>
      </c>
      <c r="D124" s="121">
        <v>40</v>
      </c>
      <c r="E124" s="130">
        <v>55</v>
      </c>
      <c r="F124" s="131">
        <f t="shared" si="63"/>
        <v>32.333333333333336</v>
      </c>
      <c r="G124" s="132">
        <f>D124*60/E124</f>
        <v>43.636363636363633</v>
      </c>
      <c r="H124" s="133">
        <f t="shared" si="68"/>
        <v>9.7000000000000011</v>
      </c>
      <c r="I124" s="130">
        <v>6</v>
      </c>
      <c r="J124" s="132">
        <f t="shared" si="69"/>
        <v>59.336363636363636</v>
      </c>
      <c r="K124" s="132">
        <f t="shared" si="70"/>
        <v>118.67272727272727</v>
      </c>
      <c r="L124" s="167">
        <v>60</v>
      </c>
      <c r="M124" s="177">
        <v>2</v>
      </c>
      <c r="N124" s="176">
        <f>(4*60/L124)*2+(8*60/120)*2</f>
        <v>16</v>
      </c>
      <c r="O124" s="135">
        <v>0</v>
      </c>
      <c r="P124" s="257">
        <f t="shared" si="61"/>
        <v>2</v>
      </c>
      <c r="Q124" s="239">
        <v>0</v>
      </c>
      <c r="R124" s="239">
        <v>0</v>
      </c>
      <c r="S124" s="263" t="s">
        <v>265</v>
      </c>
      <c r="T124" s="264" t="s">
        <v>249</v>
      </c>
      <c r="U124" s="265">
        <f>M115*1.1-O115+2</f>
        <v>31</v>
      </c>
      <c r="V124" s="277">
        <v>31</v>
      </c>
      <c r="W124" s="251"/>
      <c r="X124" s="249"/>
      <c r="Y124" s="249"/>
      <c r="Z124" s="249"/>
      <c r="AA124" s="249"/>
      <c r="AB124" s="249"/>
      <c r="AC124" s="249"/>
      <c r="AD124" s="249"/>
      <c r="AE124" s="249"/>
      <c r="AF124" s="249"/>
      <c r="AG124" s="251"/>
      <c r="AH124" s="261"/>
      <c r="AI124" s="262"/>
      <c r="AJ124" s="146"/>
      <c r="AK124" s="103"/>
      <c r="AL124" s="276"/>
      <c r="AN124" s="103"/>
      <c r="AO124" s="103"/>
      <c r="AP124" s="103"/>
      <c r="AQ124" s="103"/>
    </row>
    <row r="125" spans="1:43" s="102" customFormat="1" ht="21" customHeight="1" thickBot="1" x14ac:dyDescent="0.4">
      <c r="A125" s="121">
        <v>9</v>
      </c>
      <c r="B125" s="121" t="s">
        <v>102</v>
      </c>
      <c r="C125" s="121" t="s">
        <v>103</v>
      </c>
      <c r="D125" s="121">
        <v>25</v>
      </c>
      <c r="E125" s="130">
        <v>55</v>
      </c>
      <c r="F125" s="131">
        <f t="shared" si="63"/>
        <v>19.833333333333336</v>
      </c>
      <c r="G125" s="132">
        <f t="shared" si="64"/>
        <v>27.272727272727273</v>
      </c>
      <c r="H125" s="133">
        <f>F125*0.3</f>
        <v>5.95</v>
      </c>
      <c r="I125" s="130">
        <v>6</v>
      </c>
      <c r="J125" s="132">
        <f>G125+H125+I125</f>
        <v>39.222727272727276</v>
      </c>
      <c r="K125" s="132">
        <f>J125*2</f>
        <v>78.445454545454552</v>
      </c>
      <c r="L125" s="153">
        <v>40</v>
      </c>
      <c r="M125" s="154">
        <v>2</v>
      </c>
      <c r="N125" s="153">
        <f>(3*60/L125)*2+(11*60/60)*2</f>
        <v>31</v>
      </c>
      <c r="O125" s="135">
        <v>0</v>
      </c>
      <c r="P125" s="257">
        <f t="shared" si="61"/>
        <v>2</v>
      </c>
      <c r="Q125" s="239">
        <v>0</v>
      </c>
      <c r="R125" s="239">
        <v>0</v>
      </c>
      <c r="S125" s="263" t="s">
        <v>251</v>
      </c>
      <c r="T125" s="264" t="s">
        <v>249</v>
      </c>
      <c r="U125" s="265">
        <f>U120</f>
        <v>80.300000000000011</v>
      </c>
      <c r="V125" s="277">
        <v>80</v>
      </c>
      <c r="W125" s="251"/>
      <c r="X125" s="249"/>
      <c r="Y125" s="249"/>
      <c r="Z125" s="249"/>
      <c r="AA125" s="249"/>
      <c r="AB125" s="249"/>
      <c r="AC125" s="249"/>
      <c r="AD125" s="249"/>
      <c r="AE125" s="249"/>
      <c r="AF125" s="249"/>
      <c r="AG125" s="251"/>
      <c r="AH125" s="261"/>
      <c r="AI125" s="262"/>
      <c r="AJ125" s="146"/>
      <c r="AK125" s="103"/>
      <c r="AL125" s="276"/>
      <c r="AN125" s="103"/>
      <c r="AO125" s="103"/>
      <c r="AP125" s="103"/>
      <c r="AQ125" s="103"/>
    </row>
    <row r="126" spans="1:43" s="102" customFormat="1" ht="21" customHeight="1" thickBot="1" x14ac:dyDescent="0.4">
      <c r="A126" s="121">
        <v>10</v>
      </c>
      <c r="B126" s="121" t="s">
        <v>104</v>
      </c>
      <c r="C126" s="121" t="s">
        <v>105</v>
      </c>
      <c r="D126" s="121">
        <v>30</v>
      </c>
      <c r="E126" s="130">
        <v>55</v>
      </c>
      <c r="F126" s="131">
        <f t="shared" si="63"/>
        <v>24</v>
      </c>
      <c r="G126" s="132">
        <f t="shared" si="64"/>
        <v>32.727272727272727</v>
      </c>
      <c r="H126" s="133">
        <f>F126*0.3</f>
        <v>7.1999999999999993</v>
      </c>
      <c r="I126" s="130">
        <v>6</v>
      </c>
      <c r="J126" s="132">
        <f>G126+H126+I126</f>
        <v>45.927272727272722</v>
      </c>
      <c r="K126" s="132">
        <f>J126*2</f>
        <v>91.854545454545445</v>
      </c>
      <c r="L126" s="167">
        <v>60</v>
      </c>
      <c r="M126" s="168">
        <v>2</v>
      </c>
      <c r="N126" s="167">
        <f>(3*60/L126)*2+(11*60/120)*2</f>
        <v>17</v>
      </c>
      <c r="O126" s="135">
        <v>0</v>
      </c>
      <c r="P126" s="257">
        <f t="shared" si="61"/>
        <v>2</v>
      </c>
      <c r="Q126" s="239">
        <v>0</v>
      </c>
      <c r="R126" s="239">
        <v>0</v>
      </c>
      <c r="S126" s="263" t="s">
        <v>253</v>
      </c>
      <c r="T126" s="264" t="s">
        <v>254</v>
      </c>
      <c r="U126" s="269">
        <f>U124*100/U125</f>
        <v>38.605230386052298</v>
      </c>
      <c r="V126" s="269">
        <f>V124*100/V125</f>
        <v>38.75</v>
      </c>
      <c r="W126" s="251"/>
      <c r="X126" s="249"/>
      <c r="Y126" s="249"/>
      <c r="Z126" s="249"/>
      <c r="AA126" s="249"/>
      <c r="AB126" s="249"/>
      <c r="AC126" s="249"/>
      <c r="AD126" s="249"/>
      <c r="AE126" s="249"/>
      <c r="AF126" s="249"/>
      <c r="AG126" s="251"/>
      <c r="AH126" s="261"/>
      <c r="AI126" s="262"/>
      <c r="AJ126" s="146"/>
      <c r="AK126" s="103"/>
      <c r="AL126" s="276"/>
      <c r="AN126" s="103"/>
      <c r="AO126" s="103"/>
      <c r="AP126" s="103"/>
      <c r="AQ126" s="103"/>
    </row>
    <row r="127" spans="1:43" s="102" customFormat="1" ht="21" customHeight="1" x14ac:dyDescent="0.35">
      <c r="A127" s="121">
        <v>11</v>
      </c>
      <c r="B127" s="121" t="s">
        <v>187</v>
      </c>
      <c r="C127" s="121" t="s">
        <v>188</v>
      </c>
      <c r="D127" s="121">
        <v>24</v>
      </c>
      <c r="E127" s="130">
        <v>55</v>
      </c>
      <c r="F127" s="131">
        <f>D127/1.5-1</f>
        <v>15</v>
      </c>
      <c r="G127" s="132">
        <f t="shared" si="64"/>
        <v>26.181818181818183</v>
      </c>
      <c r="H127" s="133">
        <f>F127*0.3</f>
        <v>4.5</v>
      </c>
      <c r="I127" s="130">
        <v>6</v>
      </c>
      <c r="J127" s="132">
        <f>G127+H127+I127</f>
        <v>36.681818181818187</v>
      </c>
      <c r="K127" s="132">
        <f>J127*2</f>
        <v>73.363636363636374</v>
      </c>
      <c r="L127" s="153">
        <v>40</v>
      </c>
      <c r="M127" s="168">
        <v>2</v>
      </c>
      <c r="N127" s="167">
        <f>(3*60/L127)*2+(3*60/120)*2</f>
        <v>12</v>
      </c>
      <c r="O127" s="135">
        <v>0</v>
      </c>
      <c r="P127" s="257">
        <f t="shared" si="61"/>
        <v>2</v>
      </c>
      <c r="Q127" s="239">
        <v>0</v>
      </c>
      <c r="R127" s="239">
        <v>0</v>
      </c>
      <c r="V127" s="277"/>
      <c r="W127" s="251"/>
      <c r="X127" s="249"/>
      <c r="Y127" s="249"/>
      <c r="Z127" s="249"/>
      <c r="AA127" s="249"/>
      <c r="AB127" s="249"/>
      <c r="AC127" s="249"/>
      <c r="AD127" s="249"/>
      <c r="AE127" s="249"/>
      <c r="AF127" s="249"/>
      <c r="AG127" s="251"/>
      <c r="AH127" s="261"/>
      <c r="AI127" s="262"/>
      <c r="AJ127" s="146"/>
      <c r="AK127" s="103"/>
      <c r="AL127" s="276"/>
      <c r="AN127" s="103"/>
      <c r="AO127" s="103"/>
      <c r="AP127" s="103"/>
      <c r="AQ127" s="103"/>
    </row>
    <row r="128" spans="1:43" s="102" customFormat="1" ht="21" customHeight="1" x14ac:dyDescent="0.35">
      <c r="A128" s="416" t="s">
        <v>260</v>
      </c>
      <c r="B128" s="416"/>
      <c r="C128" s="196"/>
      <c r="D128" s="188">
        <f>SUM(D117:D127)</f>
        <v>501</v>
      </c>
      <c r="E128" s="130"/>
      <c r="F128" s="133"/>
      <c r="G128" s="132"/>
      <c r="H128" s="133"/>
      <c r="I128" s="130"/>
      <c r="J128" s="132"/>
      <c r="K128" s="132"/>
      <c r="L128" s="167"/>
      <c r="M128" s="188">
        <f>SUM(M117:M127)</f>
        <v>33</v>
      </c>
      <c r="N128" s="188">
        <f t="shared" ref="N128:R128" si="71">SUM(N117:N127)</f>
        <v>237</v>
      </c>
      <c r="O128" s="188">
        <f t="shared" si="71"/>
        <v>9</v>
      </c>
      <c r="P128" s="188">
        <f t="shared" si="71"/>
        <v>24</v>
      </c>
      <c r="Q128" s="188">
        <f t="shared" si="71"/>
        <v>2</v>
      </c>
      <c r="R128" s="188">
        <f t="shared" si="71"/>
        <v>0</v>
      </c>
      <c r="S128" s="103"/>
      <c r="T128" s="251"/>
      <c r="U128" s="251"/>
      <c r="V128" s="277"/>
      <c r="W128" s="251"/>
      <c r="X128" s="249"/>
      <c r="Y128" s="249"/>
      <c r="Z128" s="249"/>
      <c r="AA128" s="249"/>
      <c r="AB128" s="249"/>
      <c r="AC128" s="249"/>
      <c r="AD128" s="249"/>
      <c r="AE128" s="249"/>
      <c r="AF128" s="249"/>
      <c r="AG128" s="251"/>
      <c r="AH128" s="261"/>
      <c r="AI128" s="262"/>
      <c r="AJ128" s="146"/>
      <c r="AK128" s="103"/>
      <c r="AL128" s="276"/>
      <c r="AN128" s="103"/>
      <c r="AO128" s="103"/>
      <c r="AP128" s="103"/>
      <c r="AQ128" s="103"/>
    </row>
    <row r="129" spans="1:43" s="102" customFormat="1" ht="21" customHeight="1" x14ac:dyDescent="0.35">
      <c r="A129" s="121" t="s">
        <v>26</v>
      </c>
      <c r="B129" s="432" t="s">
        <v>216</v>
      </c>
      <c r="C129" s="432"/>
      <c r="D129" s="432"/>
      <c r="E129" s="432"/>
      <c r="F129" s="432"/>
      <c r="G129" s="432"/>
      <c r="H129" s="432"/>
      <c r="I129" s="432"/>
      <c r="J129" s="432"/>
      <c r="K129" s="432"/>
      <c r="L129" s="432"/>
      <c r="M129" s="432"/>
      <c r="N129" s="432"/>
      <c r="O129" s="432"/>
      <c r="P129" s="432"/>
      <c r="Q129" s="288"/>
      <c r="R129" s="288"/>
      <c r="S129" s="103"/>
      <c r="T129" s="251"/>
      <c r="U129" s="251"/>
      <c r="V129" s="277"/>
      <c r="W129" s="251"/>
      <c r="X129" s="249"/>
      <c r="Y129" s="249"/>
      <c r="Z129" s="249"/>
      <c r="AA129" s="249"/>
      <c r="AB129" s="249"/>
      <c r="AC129" s="249"/>
      <c r="AD129" s="249"/>
      <c r="AE129" s="249"/>
      <c r="AF129" s="249"/>
      <c r="AG129" s="251"/>
      <c r="AH129" s="261"/>
      <c r="AI129" s="262"/>
      <c r="AJ129" s="146"/>
      <c r="AK129" s="103"/>
      <c r="AL129" s="276"/>
      <c r="AN129" s="103"/>
      <c r="AO129" s="103"/>
      <c r="AP129" s="103"/>
      <c r="AQ129" s="103"/>
    </row>
    <row r="130" spans="1:43" s="102" customFormat="1" ht="21" customHeight="1" x14ac:dyDescent="0.35">
      <c r="A130" s="120">
        <v>2.1</v>
      </c>
      <c r="B130" s="419" t="s">
        <v>76</v>
      </c>
      <c r="C130" s="419"/>
      <c r="D130" s="419"/>
      <c r="E130" s="419"/>
      <c r="F130" s="419"/>
      <c r="G130" s="419"/>
      <c r="H130" s="419"/>
      <c r="I130" s="419"/>
      <c r="J130" s="419"/>
      <c r="K130" s="419"/>
      <c r="L130" s="419"/>
      <c r="M130" s="419"/>
      <c r="N130" s="419"/>
      <c r="O130" s="419"/>
      <c r="P130" s="285"/>
      <c r="Q130" s="285"/>
      <c r="R130" s="285"/>
      <c r="S130" s="103">
        <v>2035</v>
      </c>
      <c r="T130" s="251"/>
      <c r="U130" s="251"/>
      <c r="V130" s="277"/>
      <c r="W130" s="251"/>
      <c r="X130" s="249"/>
      <c r="Y130" s="249"/>
      <c r="Z130" s="249"/>
      <c r="AA130" s="249"/>
      <c r="AB130" s="249"/>
      <c r="AC130" s="249"/>
      <c r="AD130" s="249"/>
      <c r="AE130" s="249"/>
      <c r="AF130" s="249"/>
      <c r="AG130" s="251"/>
      <c r="AH130" s="261"/>
      <c r="AI130" s="262"/>
      <c r="AJ130" s="146"/>
      <c r="AK130" s="103"/>
      <c r="AL130" s="276"/>
      <c r="AN130" s="103"/>
      <c r="AO130" s="103"/>
      <c r="AP130" s="103"/>
      <c r="AQ130" s="103"/>
    </row>
    <row r="131" spans="1:43" s="102" customFormat="1" ht="21" customHeight="1" x14ac:dyDescent="0.35">
      <c r="A131" s="240">
        <v>1</v>
      </c>
      <c r="B131" s="121" t="s">
        <v>52</v>
      </c>
      <c r="C131" s="121" t="s">
        <v>74</v>
      </c>
      <c r="D131" s="121">
        <v>41</v>
      </c>
      <c r="E131" s="130">
        <v>55</v>
      </c>
      <c r="F131" s="133">
        <f>D131/1.2</f>
        <v>34.166666666666671</v>
      </c>
      <c r="G131" s="132">
        <f>D131*60/E131</f>
        <v>44.727272727272727</v>
      </c>
      <c r="H131" s="133">
        <f t="shared" ref="H131:H132" si="72">F131*0.3</f>
        <v>10.250000000000002</v>
      </c>
      <c r="I131" s="130">
        <v>5</v>
      </c>
      <c r="J131" s="132">
        <f t="shared" ref="J131:J132" si="73">G131+H131+I131</f>
        <v>59.977272727272727</v>
      </c>
      <c r="K131" s="132">
        <f t="shared" ref="K131:K132" si="74">J131*2</f>
        <v>119.95454545454545</v>
      </c>
      <c r="L131" s="176">
        <v>60</v>
      </c>
      <c r="M131" s="149">
        <v>2</v>
      </c>
      <c r="N131" s="176">
        <f>(4*60/L131)*2+(8*60/120)*2</f>
        <v>16</v>
      </c>
      <c r="O131" s="285">
        <v>0</v>
      </c>
      <c r="P131" s="285">
        <v>0</v>
      </c>
      <c r="Q131" s="285">
        <v>0</v>
      </c>
      <c r="R131" s="257">
        <f>M131</f>
        <v>2</v>
      </c>
      <c r="S131" s="278" t="s">
        <v>244</v>
      </c>
      <c r="T131" s="279" t="s">
        <v>2</v>
      </c>
      <c r="U131" s="280" t="s">
        <v>245</v>
      </c>
      <c r="V131" s="277"/>
      <c r="W131" s="251"/>
      <c r="X131" s="249"/>
      <c r="Y131" s="249"/>
      <c r="Z131" s="249"/>
      <c r="AA131" s="249"/>
      <c r="AB131" s="249"/>
      <c r="AC131" s="249"/>
      <c r="AD131" s="249"/>
      <c r="AE131" s="249"/>
      <c r="AF131" s="249"/>
      <c r="AG131" s="251"/>
      <c r="AH131" s="261"/>
      <c r="AI131" s="262"/>
      <c r="AJ131" s="146"/>
      <c r="AK131" s="103"/>
      <c r="AL131" s="276"/>
      <c r="AN131" s="103"/>
      <c r="AO131" s="103"/>
      <c r="AP131" s="103"/>
      <c r="AQ131" s="103"/>
    </row>
    <row r="132" spans="1:43" s="102" customFormat="1" ht="21" customHeight="1" thickBot="1" x14ac:dyDescent="0.4">
      <c r="A132" s="240">
        <v>2</v>
      </c>
      <c r="B132" s="121" t="s">
        <v>57</v>
      </c>
      <c r="C132" s="121" t="s">
        <v>58</v>
      </c>
      <c r="D132" s="121">
        <v>30</v>
      </c>
      <c r="E132" s="130">
        <v>55</v>
      </c>
      <c r="F132" s="133">
        <f>D132/1.2</f>
        <v>25</v>
      </c>
      <c r="G132" s="132">
        <f>D132*60/E132</f>
        <v>32.727272727272727</v>
      </c>
      <c r="H132" s="133">
        <f t="shared" si="72"/>
        <v>7.5</v>
      </c>
      <c r="I132" s="130">
        <v>10</v>
      </c>
      <c r="J132" s="132">
        <f t="shared" si="73"/>
        <v>50.227272727272727</v>
      </c>
      <c r="K132" s="132">
        <f t="shared" si="74"/>
        <v>100.45454545454545</v>
      </c>
      <c r="L132" s="176">
        <v>60</v>
      </c>
      <c r="M132" s="149">
        <v>2</v>
      </c>
      <c r="N132" s="176">
        <f>(4*60/L132)*2+(8*60/120)*2</f>
        <v>16</v>
      </c>
      <c r="O132" s="285">
        <v>0</v>
      </c>
      <c r="P132" s="285">
        <v>0</v>
      </c>
      <c r="Q132" s="285">
        <v>0</v>
      </c>
      <c r="R132" s="257">
        <f>M132</f>
        <v>2</v>
      </c>
      <c r="S132" s="263" t="s">
        <v>263</v>
      </c>
      <c r="T132" s="282" t="s">
        <v>249</v>
      </c>
      <c r="U132" s="283">
        <f>M115+M133</f>
        <v>44</v>
      </c>
      <c r="V132" s="295">
        <f>U132-U119-2</f>
        <v>15</v>
      </c>
      <c r="W132" s="251">
        <f>44*1.1</f>
        <v>48.400000000000006</v>
      </c>
      <c r="X132" s="249"/>
      <c r="Y132" s="249"/>
      <c r="Z132" s="249"/>
      <c r="AA132" s="249"/>
      <c r="AB132" s="249"/>
      <c r="AC132" s="249"/>
      <c r="AD132" s="249"/>
      <c r="AE132" s="249"/>
      <c r="AF132" s="249"/>
      <c r="AG132" s="251"/>
      <c r="AH132" s="261"/>
      <c r="AI132" s="262"/>
      <c r="AJ132" s="146"/>
      <c r="AK132" s="103"/>
      <c r="AL132" s="276"/>
      <c r="AN132" s="103"/>
      <c r="AO132" s="103"/>
      <c r="AP132" s="103"/>
      <c r="AQ132" s="103"/>
    </row>
    <row r="133" spans="1:43" s="102" customFormat="1" ht="21" customHeight="1" thickBot="1" x14ac:dyDescent="0.4">
      <c r="A133" s="416" t="s">
        <v>260</v>
      </c>
      <c r="B133" s="416"/>
      <c r="C133" s="121"/>
      <c r="D133" s="188">
        <f t="shared" ref="D133" si="75">SUM(D131:D132)</f>
        <v>71</v>
      </c>
      <c r="E133" s="130"/>
      <c r="F133" s="133"/>
      <c r="G133" s="132"/>
      <c r="H133" s="133"/>
      <c r="I133" s="130"/>
      <c r="J133" s="132"/>
      <c r="K133" s="132"/>
      <c r="L133" s="176"/>
      <c r="M133" s="188">
        <f t="shared" ref="M133:R133" si="76">SUM(M131:M132)</f>
        <v>4</v>
      </c>
      <c r="N133" s="188">
        <f t="shared" si="76"/>
        <v>32</v>
      </c>
      <c r="O133" s="188">
        <f t="shared" si="76"/>
        <v>0</v>
      </c>
      <c r="P133" s="188">
        <f t="shared" si="76"/>
        <v>0</v>
      </c>
      <c r="Q133" s="188">
        <f t="shared" si="76"/>
        <v>0</v>
      </c>
      <c r="R133" s="188">
        <f t="shared" si="76"/>
        <v>4</v>
      </c>
      <c r="S133" s="263" t="s">
        <v>251</v>
      </c>
      <c r="T133" s="282" t="s">
        <v>249</v>
      </c>
      <c r="U133" s="283">
        <f>(M115+M128+M133+M141)*1.1</f>
        <v>100.10000000000001</v>
      </c>
      <c r="V133" s="283"/>
      <c r="W133" s="251"/>
      <c r="X133" s="249"/>
      <c r="Y133" s="249"/>
      <c r="Z133" s="249"/>
      <c r="AA133" s="249"/>
      <c r="AB133" s="249"/>
      <c r="AC133" s="249"/>
      <c r="AD133" s="249"/>
      <c r="AE133" s="249"/>
      <c r="AF133" s="249"/>
      <c r="AG133" s="251"/>
      <c r="AH133" s="261"/>
      <c r="AI133" s="262"/>
      <c r="AJ133" s="146"/>
      <c r="AK133" s="103"/>
      <c r="AL133" s="276"/>
      <c r="AN133" s="103"/>
      <c r="AO133" s="103"/>
      <c r="AP133" s="103"/>
      <c r="AQ133" s="103"/>
    </row>
    <row r="134" spans="1:43" s="102" customFormat="1" ht="21" customHeight="1" x14ac:dyDescent="0.35">
      <c r="A134" s="129">
        <v>2.2000000000000002</v>
      </c>
      <c r="B134" s="432" t="s">
        <v>217</v>
      </c>
      <c r="C134" s="432"/>
      <c r="D134" s="432"/>
      <c r="E134" s="432"/>
      <c r="F134" s="432"/>
      <c r="G134" s="432"/>
      <c r="H134" s="432"/>
      <c r="I134" s="432"/>
      <c r="J134" s="432"/>
      <c r="K134" s="432"/>
      <c r="L134" s="432"/>
      <c r="M134" s="432"/>
      <c r="N134" s="432"/>
      <c r="O134" s="432"/>
      <c r="P134" s="288"/>
      <c r="Q134" s="288"/>
      <c r="R134" s="288"/>
      <c r="S134" s="267" t="s">
        <v>253</v>
      </c>
      <c r="T134" s="282" t="s">
        <v>254</v>
      </c>
      <c r="U134" s="269">
        <f>U132*100/U133</f>
        <v>43.956043956043949</v>
      </c>
      <c r="V134" s="277"/>
      <c r="W134" s="251"/>
      <c r="X134" s="249"/>
      <c r="Y134" s="249"/>
      <c r="Z134" s="249"/>
      <c r="AA134" s="249"/>
      <c r="AB134" s="249"/>
      <c r="AC134" s="249"/>
      <c r="AD134" s="249"/>
      <c r="AE134" s="249"/>
      <c r="AF134" s="249"/>
      <c r="AG134" s="251"/>
      <c r="AH134" s="261"/>
      <c r="AI134" s="262"/>
      <c r="AJ134" s="146"/>
      <c r="AK134" s="103"/>
      <c r="AL134" s="276"/>
      <c r="AN134" s="103"/>
      <c r="AO134" s="103"/>
      <c r="AP134" s="103"/>
      <c r="AQ134" s="103"/>
    </row>
    <row r="135" spans="1:43" s="102" customFormat="1" ht="21" customHeight="1" x14ac:dyDescent="0.35">
      <c r="A135" s="121">
        <v>1</v>
      </c>
      <c r="B135" s="121" t="s">
        <v>95</v>
      </c>
      <c r="C135" s="196" t="s">
        <v>96</v>
      </c>
      <c r="D135" s="121">
        <v>21</v>
      </c>
      <c r="E135" s="130">
        <v>55</v>
      </c>
      <c r="F135" s="133">
        <f>D135/1.2-1</f>
        <v>16.5</v>
      </c>
      <c r="G135" s="132">
        <f t="shared" ref="G135:G140" si="77">D135*60/E135</f>
        <v>22.90909090909091</v>
      </c>
      <c r="H135" s="133">
        <f t="shared" ref="H135:H140" si="78">F135*0.3</f>
        <v>4.95</v>
      </c>
      <c r="I135" s="130">
        <v>6</v>
      </c>
      <c r="J135" s="132">
        <f t="shared" ref="J135:J140" si="79">G135+H135+I135</f>
        <v>33.859090909090909</v>
      </c>
      <c r="K135" s="132">
        <f t="shared" ref="K135:K140" si="80">J135*2</f>
        <v>67.718181818181819</v>
      </c>
      <c r="L135" s="176">
        <v>60</v>
      </c>
      <c r="M135" s="237">
        <v>1</v>
      </c>
      <c r="N135" s="176">
        <f t="shared" ref="N135:N140" si="81">(4*60/L135)*2+(8*60/120)*2</f>
        <v>16</v>
      </c>
      <c r="O135" s="285">
        <v>0</v>
      </c>
      <c r="P135" s="285">
        <v>0</v>
      </c>
      <c r="Q135" s="285">
        <v>0</v>
      </c>
      <c r="R135" s="257">
        <f>M135</f>
        <v>1</v>
      </c>
      <c r="S135" s="103"/>
      <c r="T135" s="251"/>
      <c r="U135" s="251"/>
      <c r="V135" s="277"/>
      <c r="W135" s="251"/>
      <c r="X135" s="249"/>
      <c r="Y135" s="249"/>
      <c r="Z135" s="249"/>
      <c r="AA135" s="249"/>
      <c r="AB135" s="249"/>
      <c r="AC135" s="249"/>
      <c r="AD135" s="249"/>
      <c r="AE135" s="249"/>
      <c r="AF135" s="249"/>
      <c r="AG135" s="251"/>
      <c r="AH135" s="261"/>
      <c r="AI135" s="262"/>
      <c r="AJ135" s="146" t="s">
        <v>266</v>
      </c>
      <c r="AK135" s="103"/>
      <c r="AL135" s="276"/>
      <c r="AN135" s="103"/>
      <c r="AO135" s="103"/>
      <c r="AP135" s="103"/>
      <c r="AQ135" s="103"/>
    </row>
    <row r="136" spans="1:43" s="102" customFormat="1" ht="21" customHeight="1" x14ac:dyDescent="0.35">
      <c r="A136" s="121">
        <v>2</v>
      </c>
      <c r="B136" s="121" t="s">
        <v>97</v>
      </c>
      <c r="C136" s="121" t="s">
        <v>98</v>
      </c>
      <c r="D136" s="121">
        <v>65</v>
      </c>
      <c r="E136" s="130">
        <v>55</v>
      </c>
      <c r="F136" s="133">
        <f>D136/1.2-1</f>
        <v>53.166666666666671</v>
      </c>
      <c r="G136" s="132">
        <f t="shared" si="77"/>
        <v>70.909090909090907</v>
      </c>
      <c r="H136" s="133">
        <f t="shared" si="78"/>
        <v>15.950000000000001</v>
      </c>
      <c r="I136" s="130">
        <v>6</v>
      </c>
      <c r="J136" s="132">
        <f t="shared" si="79"/>
        <v>92.859090909090909</v>
      </c>
      <c r="K136" s="132">
        <f t="shared" si="80"/>
        <v>185.71818181818182</v>
      </c>
      <c r="L136" s="176">
        <v>60</v>
      </c>
      <c r="M136" s="237">
        <v>3</v>
      </c>
      <c r="N136" s="176">
        <f t="shared" si="81"/>
        <v>16</v>
      </c>
      <c r="O136" s="285">
        <v>0</v>
      </c>
      <c r="P136" s="285">
        <v>0</v>
      </c>
      <c r="Q136" s="285">
        <v>0</v>
      </c>
      <c r="R136" s="257">
        <f t="shared" ref="R136:R140" si="82">M136</f>
        <v>3</v>
      </c>
      <c r="S136" s="103"/>
      <c r="T136" s="251"/>
      <c r="U136" s="431"/>
      <c r="V136" s="431"/>
      <c r="W136" s="251"/>
      <c r="X136" s="249"/>
      <c r="Y136" s="251"/>
      <c r="Z136" s="249"/>
      <c r="AA136" s="249"/>
      <c r="AB136" s="249"/>
      <c r="AC136" s="249"/>
      <c r="AD136" s="249"/>
      <c r="AE136" s="249"/>
      <c r="AF136" s="251"/>
      <c r="AG136" s="251"/>
      <c r="AH136" s="251"/>
      <c r="AI136" s="251"/>
      <c r="AJ136" s="251"/>
      <c r="AK136" s="251"/>
      <c r="AL136" s="251"/>
      <c r="AN136" s="103"/>
      <c r="AO136" s="103"/>
      <c r="AP136" s="103"/>
      <c r="AQ136" s="103"/>
    </row>
    <row r="137" spans="1:43" s="102" customFormat="1" ht="21" customHeight="1" x14ac:dyDescent="0.35">
      <c r="A137" s="121">
        <v>3</v>
      </c>
      <c r="B137" s="121" t="s">
        <v>99</v>
      </c>
      <c r="C137" s="121" t="s">
        <v>100</v>
      </c>
      <c r="D137" s="121">
        <v>29</v>
      </c>
      <c r="E137" s="130">
        <v>55</v>
      </c>
      <c r="F137" s="133">
        <f>D137/1.2-1</f>
        <v>23.166666666666668</v>
      </c>
      <c r="G137" s="132">
        <f t="shared" si="77"/>
        <v>31.636363636363637</v>
      </c>
      <c r="H137" s="133">
        <f t="shared" si="78"/>
        <v>6.95</v>
      </c>
      <c r="I137" s="130">
        <v>6</v>
      </c>
      <c r="J137" s="132">
        <f t="shared" si="79"/>
        <v>44.586363636363636</v>
      </c>
      <c r="K137" s="132">
        <f t="shared" si="80"/>
        <v>89.172727272727272</v>
      </c>
      <c r="L137" s="176">
        <v>60</v>
      </c>
      <c r="M137" s="237">
        <v>2</v>
      </c>
      <c r="N137" s="176">
        <f t="shared" si="81"/>
        <v>16</v>
      </c>
      <c r="O137" s="285">
        <v>0</v>
      </c>
      <c r="P137" s="285">
        <v>0</v>
      </c>
      <c r="Q137" s="285">
        <v>0</v>
      </c>
      <c r="R137" s="257">
        <f t="shared" si="82"/>
        <v>2</v>
      </c>
      <c r="S137" s="278" t="s">
        <v>244</v>
      </c>
      <c r="T137" s="279" t="s">
        <v>2</v>
      </c>
      <c r="U137" s="280" t="s">
        <v>245</v>
      </c>
      <c r="V137" s="103"/>
      <c r="W137" s="146"/>
      <c r="X137" s="146"/>
      <c r="Y137" s="146"/>
      <c r="Z137" s="210"/>
      <c r="AA137" s="210"/>
      <c r="AB137" s="210"/>
      <c r="AC137" s="210"/>
      <c r="AD137" s="210"/>
      <c r="AE137" s="146"/>
      <c r="AF137" s="210"/>
      <c r="AG137" s="210"/>
      <c r="AH137" s="210"/>
      <c r="AI137" s="210"/>
      <c r="AN137" s="103"/>
      <c r="AO137" s="103"/>
      <c r="AP137" s="103"/>
      <c r="AQ137" s="103"/>
    </row>
    <row r="138" spans="1:43" s="102" customFormat="1" ht="21" customHeight="1" thickBot="1" x14ac:dyDescent="0.4">
      <c r="A138" s="121">
        <v>4</v>
      </c>
      <c r="B138" s="121" t="s">
        <v>101</v>
      </c>
      <c r="C138" s="121" t="s">
        <v>189</v>
      </c>
      <c r="D138" s="121">
        <v>43</v>
      </c>
      <c r="E138" s="130">
        <v>55</v>
      </c>
      <c r="F138" s="133">
        <f>D138/1.2-1</f>
        <v>34.833333333333336</v>
      </c>
      <c r="G138" s="132">
        <f t="shared" si="77"/>
        <v>46.909090909090907</v>
      </c>
      <c r="H138" s="133">
        <f t="shared" si="78"/>
        <v>10.450000000000001</v>
      </c>
      <c r="I138" s="130">
        <v>6</v>
      </c>
      <c r="J138" s="132">
        <f t="shared" si="79"/>
        <v>63.359090909090909</v>
      </c>
      <c r="K138" s="132">
        <f t="shared" si="80"/>
        <v>126.71818181818182</v>
      </c>
      <c r="L138" s="176">
        <v>60</v>
      </c>
      <c r="M138" s="237">
        <v>2</v>
      </c>
      <c r="N138" s="176">
        <f t="shared" si="81"/>
        <v>16</v>
      </c>
      <c r="O138" s="285">
        <v>0</v>
      </c>
      <c r="P138" s="285">
        <v>0</v>
      </c>
      <c r="Q138" s="285">
        <v>0</v>
      </c>
      <c r="R138" s="257">
        <f t="shared" si="82"/>
        <v>2</v>
      </c>
      <c r="S138" s="263" t="s">
        <v>265</v>
      </c>
      <c r="T138" s="282" t="s">
        <v>249</v>
      </c>
      <c r="U138" s="283">
        <f>U132*1.1</f>
        <v>48.400000000000006</v>
      </c>
      <c r="V138" s="146">
        <f>U138-U124-2</f>
        <v>15.400000000000006</v>
      </c>
      <c r="W138" s="146"/>
      <c r="X138" s="146"/>
      <c r="Y138" s="146"/>
      <c r="Z138" s="210"/>
      <c r="AA138" s="210"/>
      <c r="AB138" s="210"/>
      <c r="AC138" s="210"/>
      <c r="AD138" s="210"/>
      <c r="AE138" s="146"/>
      <c r="AF138" s="210"/>
      <c r="AG138" s="210"/>
      <c r="AH138" s="210"/>
      <c r="AI138" s="210"/>
      <c r="AN138" s="103"/>
      <c r="AO138" s="103"/>
      <c r="AP138" s="103"/>
      <c r="AQ138" s="103"/>
    </row>
    <row r="139" spans="1:43" s="102" customFormat="1" ht="21" customHeight="1" thickBot="1" x14ac:dyDescent="0.4">
      <c r="A139" s="121">
        <v>5</v>
      </c>
      <c r="B139" s="121" t="s">
        <v>85</v>
      </c>
      <c r="C139" s="121" t="s">
        <v>86</v>
      </c>
      <c r="D139" s="121">
        <v>75</v>
      </c>
      <c r="E139" s="130">
        <v>55</v>
      </c>
      <c r="F139" s="133">
        <f>D139/1.5-1</f>
        <v>49</v>
      </c>
      <c r="G139" s="132">
        <f t="shared" si="77"/>
        <v>81.818181818181813</v>
      </c>
      <c r="H139" s="133">
        <f t="shared" si="78"/>
        <v>14.7</v>
      </c>
      <c r="I139" s="130">
        <v>6</v>
      </c>
      <c r="J139" s="132">
        <f t="shared" si="79"/>
        <v>102.51818181818182</v>
      </c>
      <c r="K139" s="132">
        <f t="shared" si="80"/>
        <v>205.03636363636363</v>
      </c>
      <c r="L139" s="176">
        <v>60</v>
      </c>
      <c r="M139" s="149">
        <v>4</v>
      </c>
      <c r="N139" s="176">
        <f t="shared" si="81"/>
        <v>16</v>
      </c>
      <c r="O139" s="285">
        <v>0</v>
      </c>
      <c r="P139" s="285">
        <v>0</v>
      </c>
      <c r="Q139" s="285">
        <v>0</v>
      </c>
      <c r="R139" s="257">
        <f t="shared" si="82"/>
        <v>4</v>
      </c>
      <c r="S139" s="263" t="s">
        <v>251</v>
      </c>
      <c r="T139" s="282" t="s">
        <v>249</v>
      </c>
      <c r="U139" s="283">
        <f>U133</f>
        <v>100.10000000000001</v>
      </c>
      <c r="V139" s="146">
        <f>U138-28</f>
        <v>20.400000000000006</v>
      </c>
      <c r="W139" s="146"/>
      <c r="X139" s="146"/>
      <c r="Y139" s="146"/>
      <c r="Z139" s="210"/>
      <c r="AA139" s="210"/>
      <c r="AB139" s="210"/>
      <c r="AC139" s="210"/>
      <c r="AD139" s="210"/>
      <c r="AE139" s="146"/>
      <c r="AF139" s="210"/>
      <c r="AG139" s="210"/>
      <c r="AH139" s="210"/>
      <c r="AI139" s="210"/>
      <c r="AN139" s="103"/>
      <c r="AO139" s="103"/>
      <c r="AP139" s="103"/>
      <c r="AQ139" s="103"/>
    </row>
    <row r="140" spans="1:43" s="102" customFormat="1" ht="21" customHeight="1" x14ac:dyDescent="0.35">
      <c r="A140" s="121">
        <v>6</v>
      </c>
      <c r="B140" s="121" t="s">
        <v>87</v>
      </c>
      <c r="C140" s="196" t="s">
        <v>88</v>
      </c>
      <c r="D140" s="121">
        <v>30</v>
      </c>
      <c r="E140" s="130">
        <v>55</v>
      </c>
      <c r="F140" s="133">
        <f>D140/1.5-1</f>
        <v>19</v>
      </c>
      <c r="G140" s="132">
        <f t="shared" si="77"/>
        <v>32.727272727272727</v>
      </c>
      <c r="H140" s="133">
        <f t="shared" si="78"/>
        <v>5.7</v>
      </c>
      <c r="I140" s="130">
        <v>6</v>
      </c>
      <c r="J140" s="132">
        <f t="shared" si="79"/>
        <v>44.427272727272729</v>
      </c>
      <c r="K140" s="132">
        <f t="shared" si="80"/>
        <v>88.854545454545459</v>
      </c>
      <c r="L140" s="176">
        <v>60</v>
      </c>
      <c r="M140" s="149">
        <v>2</v>
      </c>
      <c r="N140" s="176">
        <f t="shared" si="81"/>
        <v>16</v>
      </c>
      <c r="O140" s="285">
        <v>0</v>
      </c>
      <c r="P140" s="285">
        <v>0</v>
      </c>
      <c r="Q140" s="285">
        <v>0</v>
      </c>
      <c r="R140" s="257">
        <f t="shared" si="82"/>
        <v>2</v>
      </c>
      <c r="S140" s="267" t="s">
        <v>253</v>
      </c>
      <c r="T140" s="282" t="s">
        <v>254</v>
      </c>
      <c r="U140" s="269">
        <f>U138*100/U139</f>
        <v>48.351648351648358</v>
      </c>
      <c r="V140" s="103">
        <f>17*1.1</f>
        <v>18.700000000000003</v>
      </c>
      <c r="W140" s="146"/>
      <c r="X140" s="146"/>
      <c r="Y140" s="146"/>
      <c r="Z140" s="210"/>
      <c r="AA140" s="210"/>
      <c r="AB140" s="210"/>
      <c r="AC140" s="210"/>
      <c r="AD140" s="210"/>
      <c r="AE140" s="146"/>
      <c r="AF140" s="210"/>
      <c r="AG140" s="210"/>
      <c r="AH140" s="209"/>
      <c r="AI140" s="210"/>
      <c r="AN140" s="103"/>
      <c r="AO140" s="103"/>
      <c r="AP140" s="103"/>
      <c r="AQ140" s="103"/>
    </row>
    <row r="141" spans="1:43" s="102" customFormat="1" ht="21" customHeight="1" x14ac:dyDescent="0.35">
      <c r="A141" s="416" t="s">
        <v>260</v>
      </c>
      <c r="B141" s="416"/>
      <c r="C141" s="193"/>
      <c r="D141" s="188">
        <f>SUM(D135:D140)</f>
        <v>263</v>
      </c>
      <c r="E141" s="156"/>
      <c r="F141" s="188">
        <f>SUM(F135:F140)</f>
        <v>195.66666666666669</v>
      </c>
      <c r="G141" s="180"/>
      <c r="H141" s="188"/>
      <c r="I141" s="189"/>
      <c r="J141" s="180"/>
      <c r="K141" s="180"/>
      <c r="L141" s="190"/>
      <c r="M141" s="188">
        <f>SUM(M135:M140)</f>
        <v>14</v>
      </c>
      <c r="N141" s="188">
        <f t="shared" ref="N141:R141" si="83">SUM(N135:N140)</f>
        <v>96</v>
      </c>
      <c r="O141" s="188">
        <f t="shared" si="83"/>
        <v>0</v>
      </c>
      <c r="P141" s="188">
        <f t="shared" si="83"/>
        <v>0</v>
      </c>
      <c r="Q141" s="188">
        <f t="shared" si="83"/>
        <v>0</v>
      </c>
      <c r="R141" s="188">
        <f t="shared" si="83"/>
        <v>14</v>
      </c>
      <c r="S141" s="103"/>
      <c r="T141" s="103"/>
      <c r="U141" s="205"/>
      <c r="V141" s="103"/>
      <c r="W141" s="146"/>
      <c r="X141" s="146"/>
      <c r="Y141" s="146"/>
      <c r="Z141" s="210"/>
      <c r="AA141" s="210"/>
      <c r="AB141" s="210"/>
      <c r="AC141" s="210"/>
      <c r="AD141" s="210"/>
      <c r="AE141" s="146"/>
      <c r="AF141" s="210"/>
      <c r="AG141" s="210"/>
      <c r="AH141" s="209"/>
      <c r="AI141" s="210"/>
      <c r="AN141" s="103"/>
      <c r="AO141" s="103"/>
      <c r="AP141" s="103"/>
      <c r="AQ141" s="103"/>
    </row>
    <row r="145" spans="1:43" s="102" customFormat="1" ht="52.5" x14ac:dyDescent="0.35">
      <c r="A145" s="103"/>
      <c r="B145" s="103"/>
      <c r="C145" s="205"/>
      <c r="D145" s="146">
        <f>D115+D128+D133+D141</f>
        <v>1368.8</v>
      </c>
      <c r="E145" s="205"/>
      <c r="F145" s="206"/>
      <c r="G145" s="207"/>
      <c r="H145" s="208"/>
      <c r="I145" s="103"/>
      <c r="J145" s="207"/>
      <c r="K145" s="205"/>
      <c r="L145" s="209"/>
      <c r="M145" s="210"/>
      <c r="N145" s="211"/>
      <c r="O145" s="439" t="s">
        <v>106</v>
      </c>
      <c r="P145" s="440"/>
      <c r="Q145" s="443" t="s">
        <v>123</v>
      </c>
      <c r="R145" s="296" t="s">
        <v>108</v>
      </c>
      <c r="S145" s="444"/>
      <c r="T145" s="103"/>
      <c r="U145" s="205"/>
      <c r="V145" s="103"/>
      <c r="W145" s="146"/>
      <c r="X145" s="146"/>
      <c r="Y145" s="146"/>
      <c r="Z145" s="210"/>
      <c r="AA145" s="210"/>
      <c r="AB145" s="210"/>
      <c r="AC145" s="210"/>
      <c r="AD145" s="210"/>
      <c r="AE145" s="146"/>
      <c r="AF145" s="210"/>
      <c r="AG145" s="210"/>
      <c r="AH145" s="209"/>
      <c r="AI145" s="210"/>
      <c r="AN145" s="103"/>
      <c r="AO145" s="103"/>
      <c r="AP145" s="103"/>
      <c r="AQ145" s="103"/>
    </row>
    <row r="146" spans="1:43" s="102" customFormat="1" ht="18" x14ac:dyDescent="0.35">
      <c r="A146" s="103"/>
      <c r="B146" s="103"/>
      <c r="C146" s="205"/>
      <c r="D146" s="103"/>
      <c r="E146" s="205"/>
      <c r="F146" s="206"/>
      <c r="G146" s="207"/>
      <c r="H146" s="208"/>
      <c r="I146" s="103"/>
      <c r="J146" s="207"/>
      <c r="K146" s="205"/>
      <c r="L146" s="209"/>
      <c r="M146" s="210"/>
      <c r="N146" s="211"/>
      <c r="O146" s="441"/>
      <c r="P146" s="442"/>
      <c r="Q146" s="443"/>
      <c r="R146" s="297" t="s">
        <v>124</v>
      </c>
      <c r="S146" s="444"/>
      <c r="T146" s="103"/>
      <c r="U146" s="205"/>
      <c r="V146" s="103"/>
      <c r="W146" s="146"/>
      <c r="X146" s="146"/>
      <c r="Y146" s="146"/>
      <c r="Z146" s="210"/>
      <c r="AA146" s="210"/>
      <c r="AB146" s="210"/>
      <c r="AC146" s="210"/>
      <c r="AD146" s="210"/>
      <c r="AE146" s="146"/>
      <c r="AF146" s="210"/>
      <c r="AG146" s="210"/>
      <c r="AH146" s="209"/>
      <c r="AI146" s="210"/>
      <c r="AN146" s="103"/>
      <c r="AO146" s="103"/>
      <c r="AP146" s="103"/>
      <c r="AQ146" s="103"/>
    </row>
    <row r="147" spans="1:43" s="102" customFormat="1" ht="18" x14ac:dyDescent="0.4">
      <c r="A147" s="103"/>
      <c r="B147" s="103"/>
      <c r="C147" s="205"/>
      <c r="D147" s="103"/>
      <c r="E147" s="205"/>
      <c r="F147" s="206"/>
      <c r="G147" s="207"/>
      <c r="H147" s="208"/>
      <c r="I147" s="103"/>
      <c r="J147" s="207"/>
      <c r="K147" s="205"/>
      <c r="L147" s="209"/>
      <c r="M147" s="210"/>
      <c r="N147" s="211"/>
      <c r="O147" s="437">
        <v>2030</v>
      </c>
      <c r="P147" s="298" t="s">
        <v>223</v>
      </c>
      <c r="Q147" s="299">
        <f>M115</f>
        <v>40</v>
      </c>
      <c r="R147" s="299">
        <f>Q147*1.1</f>
        <v>44</v>
      </c>
      <c r="S147" s="103">
        <v>44</v>
      </c>
      <c r="T147" s="103"/>
      <c r="U147" s="205"/>
      <c r="V147" s="103"/>
      <c r="W147" s="146"/>
      <c r="X147" s="146"/>
      <c r="Y147" s="146"/>
      <c r="Z147" s="210"/>
      <c r="AA147" s="210"/>
      <c r="AB147" s="210"/>
      <c r="AC147" s="210"/>
      <c r="AD147" s="210"/>
      <c r="AE147" s="146"/>
      <c r="AF147" s="210"/>
      <c r="AG147" s="210"/>
      <c r="AH147" s="209"/>
      <c r="AI147" s="210"/>
      <c r="AN147" s="103"/>
      <c r="AO147" s="103"/>
      <c r="AP147" s="103"/>
      <c r="AQ147" s="103"/>
    </row>
    <row r="148" spans="1:43" s="102" customFormat="1" ht="18" x14ac:dyDescent="0.4">
      <c r="A148" s="103"/>
      <c r="B148" s="103"/>
      <c r="C148" s="205"/>
      <c r="D148" s="103"/>
      <c r="E148" s="205"/>
      <c r="F148" s="206"/>
      <c r="G148" s="207"/>
      <c r="H148" s="208"/>
      <c r="I148" s="103"/>
      <c r="J148" s="207"/>
      <c r="K148" s="205"/>
      <c r="L148" s="209"/>
      <c r="M148" s="210"/>
      <c r="N148" s="211"/>
      <c r="O148" s="438"/>
      <c r="P148" s="298" t="s">
        <v>224</v>
      </c>
      <c r="Q148" s="299">
        <f>M128</f>
        <v>33</v>
      </c>
      <c r="R148" s="299">
        <f t="shared" ref="R148:R150" si="84">Q148*1.1</f>
        <v>36.300000000000004</v>
      </c>
      <c r="S148" s="103">
        <v>36</v>
      </c>
      <c r="T148" s="103"/>
      <c r="U148" s="205"/>
      <c r="V148" s="103"/>
      <c r="W148" s="146"/>
      <c r="X148" s="146"/>
      <c r="Y148" s="146"/>
      <c r="Z148" s="210"/>
      <c r="AA148" s="210"/>
      <c r="AB148" s="210"/>
      <c r="AC148" s="210"/>
      <c r="AD148" s="210"/>
      <c r="AE148" s="146"/>
      <c r="AF148" s="210"/>
      <c r="AG148" s="210"/>
      <c r="AH148" s="209"/>
      <c r="AI148" s="210"/>
      <c r="AN148" s="103"/>
      <c r="AO148" s="103"/>
      <c r="AP148" s="103"/>
      <c r="AQ148" s="103"/>
    </row>
    <row r="149" spans="1:43" s="102" customFormat="1" ht="18" x14ac:dyDescent="0.4">
      <c r="A149" s="103"/>
      <c r="B149" s="103"/>
      <c r="C149" s="205"/>
      <c r="D149" s="103"/>
      <c r="E149" s="205"/>
      <c r="F149" s="206"/>
      <c r="G149" s="207"/>
      <c r="H149" s="208"/>
      <c r="I149" s="103"/>
      <c r="J149" s="207"/>
      <c r="K149" s="205"/>
      <c r="L149" s="209"/>
      <c r="M149" s="210"/>
      <c r="N149" s="211"/>
      <c r="O149" s="437">
        <v>2035</v>
      </c>
      <c r="P149" s="298" t="s">
        <v>223</v>
      </c>
      <c r="Q149" s="299">
        <v>4</v>
      </c>
      <c r="R149" s="299">
        <f t="shared" si="84"/>
        <v>4.4000000000000004</v>
      </c>
      <c r="S149" s="103">
        <v>4</v>
      </c>
      <c r="T149" s="103"/>
      <c r="U149" s="205"/>
      <c r="V149" s="103"/>
      <c r="W149" s="146"/>
      <c r="X149" s="146"/>
      <c r="Y149" s="146"/>
      <c r="Z149" s="210"/>
      <c r="AA149" s="210"/>
      <c r="AB149" s="210"/>
      <c r="AC149" s="210"/>
      <c r="AD149" s="210"/>
      <c r="AE149" s="146"/>
      <c r="AF149" s="210"/>
      <c r="AG149" s="210"/>
      <c r="AH149" s="209"/>
      <c r="AI149" s="210"/>
      <c r="AN149" s="103"/>
      <c r="AO149" s="103"/>
      <c r="AP149" s="103"/>
      <c r="AQ149" s="103"/>
    </row>
    <row r="150" spans="1:43" s="102" customFormat="1" ht="18" x14ac:dyDescent="0.4">
      <c r="A150" s="103"/>
      <c r="B150" s="103"/>
      <c r="C150" s="205"/>
      <c r="D150" s="103"/>
      <c r="E150" s="205"/>
      <c r="F150" s="206"/>
      <c r="G150" s="207"/>
      <c r="H150" s="208"/>
      <c r="I150" s="103"/>
      <c r="J150" s="207"/>
      <c r="K150" s="205"/>
      <c r="L150" s="209"/>
      <c r="M150" s="210"/>
      <c r="N150" s="211"/>
      <c r="O150" s="438"/>
      <c r="P150" s="298" t="s">
        <v>109</v>
      </c>
      <c r="Q150" s="299">
        <v>14</v>
      </c>
      <c r="R150" s="299">
        <f t="shared" si="84"/>
        <v>15.400000000000002</v>
      </c>
      <c r="S150" s="103">
        <v>15</v>
      </c>
      <c r="T150" s="103"/>
      <c r="U150" s="205"/>
      <c r="V150" s="103"/>
      <c r="W150" s="146"/>
      <c r="X150" s="146"/>
      <c r="Y150" s="146"/>
      <c r="Z150" s="210"/>
      <c r="AA150" s="210"/>
      <c r="AB150" s="210"/>
      <c r="AC150" s="210"/>
      <c r="AD150" s="210"/>
      <c r="AE150" s="146"/>
      <c r="AF150" s="210"/>
      <c r="AG150" s="210"/>
      <c r="AH150" s="209"/>
      <c r="AI150" s="210"/>
      <c r="AN150" s="103"/>
      <c r="AO150" s="103"/>
      <c r="AP150" s="103"/>
      <c r="AQ150" s="103"/>
    </row>
    <row r="151" spans="1:43" s="102" customFormat="1" x14ac:dyDescent="0.35">
      <c r="A151" s="103"/>
      <c r="B151" s="103"/>
      <c r="C151" s="205"/>
      <c r="D151" s="103"/>
      <c r="E151" s="205"/>
      <c r="F151" s="206"/>
      <c r="G151" s="207"/>
      <c r="H151" s="208"/>
      <c r="I151" s="103"/>
      <c r="J151" s="207"/>
      <c r="K151" s="205"/>
      <c r="L151" s="209"/>
      <c r="M151" s="210"/>
      <c r="N151" s="211"/>
      <c r="O151" s="95"/>
      <c r="P151" s="95" t="s">
        <v>267</v>
      </c>
      <c r="Q151" s="95"/>
      <c r="R151" s="95"/>
      <c r="S151" s="103"/>
      <c r="T151" s="103"/>
      <c r="U151" s="205"/>
      <c r="V151" s="103"/>
      <c r="W151" s="146"/>
      <c r="X151" s="146"/>
      <c r="Y151" s="146"/>
      <c r="Z151" s="210"/>
      <c r="AA151" s="210"/>
      <c r="AB151" s="210"/>
      <c r="AC151" s="210"/>
      <c r="AD151" s="210"/>
      <c r="AE151" s="146"/>
      <c r="AF151" s="210"/>
      <c r="AG151" s="210"/>
      <c r="AH151" s="209"/>
      <c r="AI151" s="210"/>
      <c r="AN151" s="103"/>
      <c r="AO151" s="103"/>
      <c r="AP151" s="103"/>
      <c r="AQ151" s="103"/>
    </row>
    <row r="152" spans="1:43" s="102" customFormat="1" ht="16.5" x14ac:dyDescent="0.35">
      <c r="A152" s="103"/>
      <c r="B152" s="103"/>
      <c r="C152" s="205"/>
      <c r="D152" s="103"/>
      <c r="E152" s="205"/>
      <c r="F152" s="206"/>
      <c r="G152" s="207"/>
      <c r="H152" s="208"/>
      <c r="I152" s="103"/>
      <c r="J152" s="207"/>
      <c r="K152" s="205"/>
      <c r="L152" s="209"/>
      <c r="M152" s="210"/>
      <c r="N152" s="211"/>
      <c r="O152" s="439" t="s">
        <v>106</v>
      </c>
      <c r="P152" s="440"/>
      <c r="Q152" s="435" t="s">
        <v>239</v>
      </c>
      <c r="R152" s="435"/>
      <c r="S152" s="435" t="s">
        <v>192</v>
      </c>
      <c r="T152" s="435"/>
      <c r="U152" s="205"/>
      <c r="V152" s="103"/>
      <c r="W152" s="146"/>
      <c r="X152" s="146"/>
      <c r="Y152" s="146"/>
      <c r="Z152" s="210"/>
      <c r="AA152" s="210"/>
      <c r="AB152" s="210"/>
      <c r="AC152" s="210"/>
      <c r="AD152" s="210"/>
      <c r="AE152" s="146"/>
      <c r="AF152" s="210"/>
      <c r="AG152" s="210"/>
      <c r="AH152" s="209"/>
      <c r="AI152" s="210"/>
      <c r="AN152" s="103"/>
      <c r="AO152" s="103"/>
      <c r="AP152" s="103"/>
      <c r="AQ152" s="103"/>
    </row>
    <row r="153" spans="1:43" s="205" customFormat="1" ht="16.5" x14ac:dyDescent="0.35">
      <c r="A153" s="103"/>
      <c r="B153" s="103"/>
      <c r="D153" s="103"/>
      <c r="F153" s="206"/>
      <c r="G153" s="207"/>
      <c r="H153" s="208"/>
      <c r="I153" s="103"/>
      <c r="J153" s="207"/>
      <c r="L153" s="209"/>
      <c r="M153" s="210"/>
      <c r="N153" s="211"/>
      <c r="O153" s="441"/>
      <c r="P153" s="442"/>
      <c r="Q153" s="245" t="s">
        <v>240</v>
      </c>
      <c r="R153" s="246" t="s">
        <v>241</v>
      </c>
      <c r="S153" s="246" t="s">
        <v>115</v>
      </c>
      <c r="T153" s="245" t="s">
        <v>242</v>
      </c>
      <c r="V153" s="103"/>
      <c r="W153" s="146"/>
      <c r="X153" s="146"/>
      <c r="Y153" s="146"/>
      <c r="Z153" s="210"/>
      <c r="AA153" s="210"/>
      <c r="AB153" s="210"/>
      <c r="AC153" s="210"/>
      <c r="AD153" s="210"/>
      <c r="AE153" s="146"/>
      <c r="AF153" s="210"/>
      <c r="AG153" s="210"/>
      <c r="AH153" s="209"/>
      <c r="AI153" s="210"/>
      <c r="AJ153" s="102"/>
      <c r="AK153" s="102"/>
      <c r="AL153" s="102"/>
      <c r="AM153" s="102"/>
      <c r="AN153" s="103"/>
      <c r="AO153" s="103"/>
      <c r="AP153" s="103"/>
      <c r="AQ153" s="103"/>
    </row>
    <row r="154" spans="1:43" s="205" customFormat="1" ht="17.5" x14ac:dyDescent="0.35">
      <c r="A154" s="103"/>
      <c r="B154" s="103"/>
      <c r="D154" s="103"/>
      <c r="F154" s="206"/>
      <c r="G154" s="207"/>
      <c r="H154" s="208"/>
      <c r="I154" s="103"/>
      <c r="J154" s="207"/>
      <c r="L154" s="209"/>
      <c r="M154" s="210"/>
      <c r="N154" s="211"/>
      <c r="O154" s="437">
        <v>2030</v>
      </c>
      <c r="P154" s="298" t="s">
        <v>223</v>
      </c>
      <c r="Q154" s="257">
        <f>O115</f>
        <v>15</v>
      </c>
      <c r="R154" s="257">
        <f t="shared" ref="R154:T154" si="85">P115</f>
        <v>25</v>
      </c>
      <c r="S154" s="257">
        <f t="shared" si="85"/>
        <v>0</v>
      </c>
      <c r="T154" s="257">
        <f t="shared" si="85"/>
        <v>0</v>
      </c>
      <c r="V154" s="103"/>
      <c r="W154" s="146"/>
      <c r="X154" s="146"/>
      <c r="Y154" s="146"/>
      <c r="Z154" s="210"/>
      <c r="AA154" s="210"/>
      <c r="AB154" s="210"/>
      <c r="AC154" s="210"/>
      <c r="AD154" s="210"/>
      <c r="AE154" s="146"/>
      <c r="AF154" s="210"/>
      <c r="AG154" s="210"/>
      <c r="AH154" s="209"/>
      <c r="AI154" s="210"/>
      <c r="AJ154" s="102"/>
      <c r="AK154" s="102"/>
      <c r="AL154" s="102"/>
      <c r="AM154" s="102"/>
      <c r="AN154" s="103"/>
      <c r="AO154" s="103"/>
      <c r="AP154" s="103"/>
      <c r="AQ154" s="103"/>
    </row>
    <row r="155" spans="1:43" s="205" customFormat="1" ht="17.5" x14ac:dyDescent="0.35">
      <c r="A155" s="103"/>
      <c r="B155" s="103"/>
      <c r="D155" s="103"/>
      <c r="F155" s="206"/>
      <c r="G155" s="207"/>
      <c r="H155" s="208"/>
      <c r="I155" s="103"/>
      <c r="J155" s="207"/>
      <c r="L155" s="209"/>
      <c r="M155" s="210"/>
      <c r="N155" s="211"/>
      <c r="O155" s="438"/>
      <c r="P155" s="298" t="s">
        <v>224</v>
      </c>
      <c r="Q155" s="300">
        <f>O128</f>
        <v>9</v>
      </c>
      <c r="R155" s="300">
        <f>P128</f>
        <v>24</v>
      </c>
      <c r="S155" s="300">
        <f t="shared" ref="S155:T155" si="86">Q128</f>
        <v>2</v>
      </c>
      <c r="T155" s="300">
        <f t="shared" si="86"/>
        <v>0</v>
      </c>
      <c r="V155" s="103"/>
      <c r="W155" s="146"/>
      <c r="X155" s="146"/>
      <c r="Y155" s="146"/>
      <c r="Z155" s="210"/>
      <c r="AA155" s="210"/>
      <c r="AB155" s="210"/>
      <c r="AC155" s="210"/>
      <c r="AD155" s="210"/>
      <c r="AE155" s="146"/>
      <c r="AF155" s="210"/>
      <c r="AG155" s="210"/>
      <c r="AH155" s="209"/>
      <c r="AI155" s="210"/>
      <c r="AJ155" s="102"/>
      <c r="AK155" s="102"/>
      <c r="AL155" s="102"/>
      <c r="AM155" s="102"/>
      <c r="AN155" s="103"/>
      <c r="AO155" s="103"/>
      <c r="AP155" s="103"/>
      <c r="AQ155" s="103"/>
    </row>
    <row r="156" spans="1:43" s="205" customFormat="1" ht="17.5" x14ac:dyDescent="0.35">
      <c r="A156" s="103"/>
      <c r="B156" s="103"/>
      <c r="D156" s="103"/>
      <c r="F156" s="206"/>
      <c r="G156" s="207"/>
      <c r="H156" s="208"/>
      <c r="I156" s="103"/>
      <c r="J156" s="207"/>
      <c r="L156" s="209"/>
      <c r="M156" s="210"/>
      <c r="N156" s="211"/>
      <c r="O156" s="437">
        <v>2035</v>
      </c>
      <c r="P156" s="298" t="s">
        <v>223</v>
      </c>
      <c r="Q156" s="300">
        <f>O133</f>
        <v>0</v>
      </c>
      <c r="R156" s="300">
        <f t="shared" ref="R156:T156" si="87">P133</f>
        <v>0</v>
      </c>
      <c r="S156" s="300">
        <f t="shared" si="87"/>
        <v>0</v>
      </c>
      <c r="T156" s="300">
        <f t="shared" si="87"/>
        <v>4</v>
      </c>
      <c r="V156" s="103"/>
      <c r="W156" s="146"/>
      <c r="X156" s="146"/>
      <c r="Y156" s="146"/>
      <c r="Z156" s="210"/>
      <c r="AA156" s="210"/>
      <c r="AB156" s="210"/>
      <c r="AC156" s="210"/>
      <c r="AD156" s="210"/>
      <c r="AE156" s="146"/>
      <c r="AF156" s="210"/>
      <c r="AG156" s="210"/>
      <c r="AH156" s="209"/>
      <c r="AI156" s="210"/>
      <c r="AJ156" s="102"/>
      <c r="AK156" s="102"/>
      <c r="AL156" s="102"/>
      <c r="AM156" s="102"/>
      <c r="AN156" s="103"/>
      <c r="AO156" s="103"/>
      <c r="AP156" s="103"/>
      <c r="AQ156" s="103"/>
    </row>
    <row r="157" spans="1:43" s="205" customFormat="1" ht="17.5" x14ac:dyDescent="0.35">
      <c r="A157" s="103"/>
      <c r="B157" s="103"/>
      <c r="D157" s="103"/>
      <c r="F157" s="206"/>
      <c r="G157" s="207"/>
      <c r="H157" s="208"/>
      <c r="I157" s="103"/>
      <c r="J157" s="207"/>
      <c r="L157" s="209"/>
      <c r="M157" s="210"/>
      <c r="N157" s="211"/>
      <c r="O157" s="438"/>
      <c r="P157" s="298" t="s">
        <v>109</v>
      </c>
      <c r="Q157" s="300">
        <f>O141</f>
        <v>0</v>
      </c>
      <c r="R157" s="300">
        <f t="shared" ref="R157:T157" si="88">P141</f>
        <v>0</v>
      </c>
      <c r="S157" s="300">
        <f t="shared" si="88"/>
        <v>0</v>
      </c>
      <c r="T157" s="300">
        <f t="shared" si="88"/>
        <v>14</v>
      </c>
      <c r="V157" s="103"/>
      <c r="W157" s="146"/>
      <c r="X157" s="146"/>
      <c r="Y157" s="146"/>
      <c r="Z157" s="210"/>
      <c r="AA157" s="210"/>
      <c r="AB157" s="210"/>
      <c r="AC157" s="210"/>
      <c r="AD157" s="210"/>
      <c r="AE157" s="146"/>
      <c r="AF157" s="210"/>
      <c r="AG157" s="210"/>
      <c r="AH157" s="209"/>
      <c r="AI157" s="210"/>
      <c r="AJ157" s="102"/>
      <c r="AK157" s="102"/>
      <c r="AL157" s="102"/>
      <c r="AM157" s="102"/>
      <c r="AN157" s="103"/>
      <c r="AO157" s="103"/>
      <c r="AP157" s="103"/>
      <c r="AQ157" s="103"/>
    </row>
    <row r="159" spans="1:43" s="205" customFormat="1" x14ac:dyDescent="0.35">
      <c r="A159" s="103"/>
      <c r="B159" s="103"/>
      <c r="D159" s="103"/>
      <c r="F159" s="206"/>
      <c r="G159" s="207"/>
      <c r="H159" s="208"/>
      <c r="I159" s="103"/>
      <c r="J159" s="207"/>
      <c r="L159" s="209"/>
      <c r="M159" s="210"/>
      <c r="N159" s="211"/>
      <c r="O159" s="95"/>
      <c r="P159" s="95" t="s">
        <v>268</v>
      </c>
      <c r="Q159" s="95"/>
      <c r="R159" s="95"/>
      <c r="S159" s="103"/>
      <c r="T159" s="103"/>
      <c r="V159" s="103"/>
      <c r="W159" s="146"/>
      <c r="X159" s="146"/>
      <c r="Y159" s="146"/>
      <c r="Z159" s="210"/>
      <c r="AA159" s="210"/>
      <c r="AB159" s="210"/>
      <c r="AC159" s="210"/>
      <c r="AD159" s="210"/>
      <c r="AE159" s="146"/>
      <c r="AF159" s="210"/>
      <c r="AG159" s="210"/>
      <c r="AH159" s="209"/>
      <c r="AI159" s="210"/>
      <c r="AJ159" s="102"/>
      <c r="AK159" s="102"/>
      <c r="AL159" s="102"/>
      <c r="AM159" s="102"/>
      <c r="AN159" s="103"/>
      <c r="AO159" s="103"/>
      <c r="AP159" s="103"/>
      <c r="AQ159" s="103"/>
    </row>
    <row r="160" spans="1:43" s="205" customFormat="1" ht="16.5" x14ac:dyDescent="0.35">
      <c r="A160" s="103"/>
      <c r="B160" s="103"/>
      <c r="D160" s="103"/>
      <c r="F160" s="206"/>
      <c r="G160" s="207"/>
      <c r="H160" s="208"/>
      <c r="I160" s="103"/>
      <c r="J160" s="207"/>
      <c r="L160" s="209"/>
      <c r="M160" s="210"/>
      <c r="N160" s="211"/>
      <c r="O160" s="439" t="s">
        <v>106</v>
      </c>
      <c r="P160" s="440"/>
      <c r="Q160" s="435" t="s">
        <v>239</v>
      </c>
      <c r="R160" s="435"/>
      <c r="S160" s="435" t="s">
        <v>192</v>
      </c>
      <c r="T160" s="435"/>
      <c r="V160" s="103"/>
      <c r="W160" s="146"/>
      <c r="X160" s="146"/>
      <c r="Y160" s="146"/>
      <c r="Z160" s="210"/>
      <c r="AA160" s="210"/>
      <c r="AB160" s="210"/>
      <c r="AC160" s="210"/>
      <c r="AD160" s="210"/>
      <c r="AE160" s="146"/>
      <c r="AF160" s="210"/>
      <c r="AG160" s="210"/>
      <c r="AH160" s="209"/>
      <c r="AI160" s="210"/>
      <c r="AJ160" s="102"/>
      <c r="AK160" s="102"/>
      <c r="AL160" s="102"/>
      <c r="AM160" s="102"/>
      <c r="AN160" s="103"/>
      <c r="AO160" s="103"/>
      <c r="AP160" s="103"/>
      <c r="AQ160" s="103"/>
    </row>
    <row r="161" spans="1:43" s="205" customFormat="1" ht="49.5" x14ac:dyDescent="0.35">
      <c r="A161" s="103"/>
      <c r="B161" s="103"/>
      <c r="D161" s="103"/>
      <c r="F161" s="206"/>
      <c r="G161" s="207"/>
      <c r="H161" s="208"/>
      <c r="I161" s="103"/>
      <c r="J161" s="207"/>
      <c r="L161" s="209"/>
      <c r="M161" s="210"/>
      <c r="N161" s="211"/>
      <c r="O161" s="441"/>
      <c r="P161" s="442"/>
      <c r="Q161" s="301" t="s">
        <v>240</v>
      </c>
      <c r="R161" s="302" t="s">
        <v>269</v>
      </c>
      <c r="S161" s="302" t="s">
        <v>270</v>
      </c>
      <c r="T161" s="302" t="s">
        <v>269</v>
      </c>
      <c r="V161" s="103"/>
      <c r="W161" s="146"/>
      <c r="X161" s="146"/>
      <c r="Y161" s="146"/>
      <c r="Z161" s="210"/>
      <c r="AA161" s="210"/>
      <c r="AB161" s="210"/>
      <c r="AC161" s="210"/>
      <c r="AD161" s="210"/>
      <c r="AE161" s="146"/>
      <c r="AF161" s="210"/>
      <c r="AG161" s="210"/>
      <c r="AH161" s="209"/>
      <c r="AI161" s="210"/>
      <c r="AJ161" s="102"/>
      <c r="AK161" s="102"/>
      <c r="AL161" s="102"/>
      <c r="AM161" s="102"/>
      <c r="AN161" s="103"/>
      <c r="AO161" s="103"/>
      <c r="AP161" s="103"/>
      <c r="AQ161" s="103"/>
    </row>
    <row r="162" spans="1:43" s="205" customFormat="1" ht="17.5" x14ac:dyDescent="0.35">
      <c r="A162" s="103"/>
      <c r="B162" s="103"/>
      <c r="D162" s="103"/>
      <c r="F162" s="206"/>
      <c r="G162" s="207"/>
      <c r="H162" s="208"/>
      <c r="I162" s="103"/>
      <c r="J162" s="207"/>
      <c r="L162" s="209"/>
      <c r="M162" s="210"/>
      <c r="N162" s="211"/>
      <c r="O162" s="437">
        <v>2030</v>
      </c>
      <c r="P162" s="298" t="s">
        <v>223</v>
      </c>
      <c r="Q162" s="257">
        <v>15</v>
      </c>
      <c r="R162" s="257">
        <f>R147-Q162</f>
        <v>29</v>
      </c>
      <c r="S162" s="257">
        <f t="shared" ref="R162:T165" si="89">S154*1.15</f>
        <v>0</v>
      </c>
      <c r="T162" s="257">
        <f t="shared" si="89"/>
        <v>0</v>
      </c>
      <c r="V162" s="103"/>
      <c r="W162" s="146"/>
      <c r="X162" s="146"/>
      <c r="Y162" s="146"/>
      <c r="Z162" s="210"/>
      <c r="AA162" s="210"/>
      <c r="AB162" s="210"/>
      <c r="AC162" s="210"/>
      <c r="AD162" s="210"/>
      <c r="AE162" s="146"/>
      <c r="AF162" s="210"/>
      <c r="AG162" s="210"/>
      <c r="AH162" s="209"/>
      <c r="AI162" s="210"/>
      <c r="AJ162" s="102"/>
      <c r="AK162" s="102"/>
      <c r="AL162" s="102"/>
      <c r="AM162" s="102"/>
      <c r="AN162" s="103"/>
      <c r="AO162" s="103"/>
      <c r="AP162" s="103"/>
      <c r="AQ162" s="103"/>
    </row>
    <row r="163" spans="1:43" s="205" customFormat="1" ht="17.5" x14ac:dyDescent="0.35">
      <c r="A163" s="103"/>
      <c r="B163" s="103"/>
      <c r="D163" s="103"/>
      <c r="F163" s="206"/>
      <c r="G163" s="207"/>
      <c r="H163" s="208"/>
      <c r="I163" s="103"/>
      <c r="J163" s="207"/>
      <c r="L163" s="209"/>
      <c r="M163" s="210"/>
      <c r="N163" s="211"/>
      <c r="O163" s="438"/>
      <c r="P163" s="298" t="s">
        <v>224</v>
      </c>
      <c r="Q163" s="257">
        <v>9</v>
      </c>
      <c r="R163" s="257">
        <f>R148-Q163</f>
        <v>27.300000000000004</v>
      </c>
      <c r="S163" s="257">
        <f t="shared" si="89"/>
        <v>2.2999999999999998</v>
      </c>
      <c r="T163" s="257">
        <f t="shared" si="89"/>
        <v>0</v>
      </c>
      <c r="V163" s="103"/>
      <c r="W163" s="146"/>
      <c r="X163" s="146"/>
      <c r="Y163" s="146"/>
      <c r="Z163" s="210"/>
      <c r="AA163" s="210"/>
      <c r="AB163" s="210"/>
      <c r="AC163" s="210"/>
      <c r="AD163" s="210"/>
      <c r="AE163" s="146"/>
      <c r="AF163" s="210"/>
      <c r="AG163" s="210"/>
      <c r="AH163" s="209"/>
      <c r="AI163" s="210"/>
      <c r="AJ163" s="102"/>
      <c r="AK163" s="102"/>
      <c r="AL163" s="102"/>
      <c r="AM163" s="102"/>
      <c r="AN163" s="103"/>
      <c r="AO163" s="103"/>
      <c r="AP163" s="103"/>
      <c r="AQ163" s="103"/>
    </row>
    <row r="164" spans="1:43" s="205" customFormat="1" ht="17.5" x14ac:dyDescent="0.35">
      <c r="A164" s="103"/>
      <c r="B164" s="103"/>
      <c r="D164" s="103"/>
      <c r="F164" s="206"/>
      <c r="G164" s="207"/>
      <c r="H164" s="208"/>
      <c r="I164" s="103"/>
      <c r="J164" s="207"/>
      <c r="L164" s="209"/>
      <c r="M164" s="210"/>
      <c r="N164" s="211"/>
      <c r="O164" s="437">
        <v>2035</v>
      </c>
      <c r="P164" s="298" t="s">
        <v>223</v>
      </c>
      <c r="Q164" s="257">
        <v>0</v>
      </c>
      <c r="R164" s="257">
        <f t="shared" si="89"/>
        <v>0</v>
      </c>
      <c r="S164" s="257">
        <f t="shared" si="89"/>
        <v>0</v>
      </c>
      <c r="T164" s="257">
        <f>R149</f>
        <v>4.4000000000000004</v>
      </c>
      <c r="V164" s="103"/>
      <c r="W164" s="146"/>
      <c r="X164" s="146"/>
      <c r="Y164" s="146"/>
      <c r="Z164" s="210"/>
      <c r="AA164" s="210"/>
      <c r="AB164" s="210"/>
      <c r="AC164" s="210"/>
      <c r="AD164" s="210"/>
      <c r="AE164" s="146"/>
      <c r="AF164" s="210"/>
      <c r="AG164" s="210"/>
      <c r="AH164" s="209"/>
      <c r="AI164" s="210"/>
      <c r="AJ164" s="102"/>
      <c r="AK164" s="102"/>
      <c r="AL164" s="102"/>
      <c r="AM164" s="102"/>
      <c r="AN164" s="103"/>
      <c r="AO164" s="103"/>
      <c r="AP164" s="103"/>
      <c r="AQ164" s="103"/>
    </row>
    <row r="165" spans="1:43" s="205" customFormat="1" ht="17.5" x14ac:dyDescent="0.35">
      <c r="A165" s="103"/>
      <c r="B165" s="103"/>
      <c r="D165" s="103"/>
      <c r="F165" s="206"/>
      <c r="G165" s="207"/>
      <c r="H165" s="208"/>
      <c r="I165" s="103"/>
      <c r="J165" s="207"/>
      <c r="L165" s="209"/>
      <c r="M165" s="210"/>
      <c r="N165" s="211"/>
      <c r="O165" s="438"/>
      <c r="P165" s="298" t="s">
        <v>109</v>
      </c>
      <c r="Q165" s="257">
        <v>0</v>
      </c>
      <c r="R165" s="257">
        <f t="shared" si="89"/>
        <v>0</v>
      </c>
      <c r="S165" s="257">
        <v>2</v>
      </c>
      <c r="T165" s="257">
        <f>R150</f>
        <v>15.400000000000002</v>
      </c>
      <c r="V165" s="103"/>
      <c r="W165" s="146"/>
      <c r="X165" s="146"/>
      <c r="Y165" s="146"/>
      <c r="Z165" s="210"/>
      <c r="AA165" s="210"/>
      <c r="AB165" s="210"/>
      <c r="AC165" s="210"/>
      <c r="AD165" s="210"/>
      <c r="AE165" s="146"/>
      <c r="AF165" s="210"/>
      <c r="AG165" s="210"/>
      <c r="AH165" s="209"/>
      <c r="AI165" s="210"/>
      <c r="AJ165" s="102"/>
      <c r="AK165" s="102"/>
      <c r="AL165" s="102"/>
      <c r="AM165" s="102"/>
      <c r="AN165" s="103"/>
      <c r="AO165" s="103"/>
      <c r="AP165" s="103"/>
      <c r="AQ165" s="103"/>
    </row>
    <row r="169" spans="1:43" s="95" customFormat="1" x14ac:dyDescent="0.35">
      <c r="A169" s="103"/>
      <c r="B169" s="103"/>
      <c r="C169" s="205"/>
      <c r="D169" s="103"/>
      <c r="E169" s="205"/>
      <c r="F169" s="206"/>
      <c r="G169" s="207"/>
      <c r="H169" s="208"/>
      <c r="I169" s="103"/>
      <c r="J169" s="207"/>
      <c r="K169" s="205"/>
      <c r="L169" s="209"/>
      <c r="M169" s="210"/>
      <c r="N169" s="211"/>
      <c r="O169" s="439" t="s">
        <v>106</v>
      </c>
      <c r="P169" s="440"/>
      <c r="S169" s="103"/>
      <c r="T169" s="103"/>
      <c r="U169" s="205"/>
      <c r="V169" s="103"/>
      <c r="W169" s="146"/>
      <c r="X169" s="146"/>
      <c r="Y169" s="146"/>
      <c r="Z169" s="210"/>
      <c r="AA169" s="210"/>
      <c r="AB169" s="210"/>
      <c r="AC169" s="210"/>
      <c r="AD169" s="210"/>
      <c r="AE169" s="146"/>
      <c r="AF169" s="210"/>
      <c r="AG169" s="210"/>
      <c r="AH169" s="209"/>
      <c r="AI169" s="210"/>
      <c r="AJ169" s="102"/>
      <c r="AK169" s="102"/>
      <c r="AL169" s="102"/>
      <c r="AM169" s="102"/>
      <c r="AN169" s="103"/>
      <c r="AO169" s="103"/>
      <c r="AP169" s="103"/>
      <c r="AQ169" s="103"/>
    </row>
    <row r="170" spans="1:43" s="95" customFormat="1" x14ac:dyDescent="0.35">
      <c r="A170" s="103"/>
      <c r="B170" s="103"/>
      <c r="C170" s="205"/>
      <c r="D170" s="103"/>
      <c r="E170" s="205"/>
      <c r="F170" s="206"/>
      <c r="G170" s="207"/>
      <c r="H170" s="208"/>
      <c r="I170" s="103"/>
      <c r="J170" s="207"/>
      <c r="K170" s="205"/>
      <c r="L170" s="209"/>
      <c r="M170" s="210"/>
      <c r="N170" s="211"/>
      <c r="O170" s="441"/>
      <c r="P170" s="442"/>
      <c r="S170" s="103"/>
      <c r="T170" s="103"/>
      <c r="U170" s="205"/>
      <c r="V170" s="103"/>
      <c r="W170" s="146"/>
      <c r="X170" s="146"/>
      <c r="Y170" s="146"/>
      <c r="Z170" s="210"/>
      <c r="AA170" s="210"/>
      <c r="AB170" s="210"/>
      <c r="AC170" s="210"/>
      <c r="AD170" s="210"/>
      <c r="AE170" s="146"/>
      <c r="AF170" s="210"/>
      <c r="AG170" s="210"/>
      <c r="AH170" s="209"/>
      <c r="AI170" s="210"/>
      <c r="AJ170" s="102"/>
      <c r="AK170" s="102"/>
      <c r="AL170" s="102"/>
      <c r="AM170" s="102"/>
      <c r="AN170" s="103"/>
      <c r="AO170" s="103"/>
      <c r="AP170" s="103"/>
      <c r="AQ170" s="103"/>
    </row>
    <row r="171" spans="1:43" s="95" customFormat="1" ht="17.5" x14ac:dyDescent="0.35">
      <c r="A171" s="103"/>
      <c r="B171" s="103"/>
      <c r="C171" s="205"/>
      <c r="D171" s="103"/>
      <c r="E171" s="205"/>
      <c r="F171" s="206"/>
      <c r="G171" s="207"/>
      <c r="H171" s="208"/>
      <c r="I171" s="103"/>
      <c r="J171" s="207"/>
      <c r="K171" s="205"/>
      <c r="L171" s="209"/>
      <c r="M171" s="210"/>
      <c r="N171" s="211"/>
      <c r="O171" s="437">
        <v>2030</v>
      </c>
      <c r="P171" s="298" t="s">
        <v>223</v>
      </c>
      <c r="S171" s="103">
        <f>73*1.15</f>
        <v>83.949999999999989</v>
      </c>
      <c r="T171" s="103"/>
      <c r="U171" s="205"/>
      <c r="V171" s="103"/>
      <c r="W171" s="146"/>
      <c r="X171" s="146"/>
      <c r="Y171" s="146"/>
      <c r="Z171" s="210"/>
      <c r="AA171" s="210"/>
      <c r="AB171" s="210"/>
      <c r="AC171" s="210"/>
      <c r="AD171" s="210"/>
      <c r="AE171" s="146"/>
      <c r="AF171" s="210"/>
      <c r="AG171" s="210"/>
      <c r="AH171" s="209"/>
      <c r="AI171" s="210"/>
      <c r="AJ171" s="102"/>
      <c r="AK171" s="102"/>
      <c r="AL171" s="102"/>
      <c r="AM171" s="102"/>
      <c r="AN171" s="103"/>
      <c r="AO171" s="103"/>
      <c r="AP171" s="103"/>
      <c r="AQ171" s="103"/>
    </row>
    <row r="172" spans="1:43" s="95" customFormat="1" ht="17.5" x14ac:dyDescent="0.35">
      <c r="A172" s="103"/>
      <c r="B172" s="103"/>
      <c r="C172" s="205"/>
      <c r="D172" s="103"/>
      <c r="E172" s="205"/>
      <c r="F172" s="206"/>
      <c r="G172" s="207"/>
      <c r="H172" s="208"/>
      <c r="I172" s="103"/>
      <c r="J172" s="207"/>
      <c r="K172" s="205"/>
      <c r="L172" s="209"/>
      <c r="M172" s="210"/>
      <c r="N172" s="211"/>
      <c r="O172" s="438"/>
      <c r="P172" s="298" t="s">
        <v>224</v>
      </c>
      <c r="S172" s="103"/>
      <c r="T172" s="103"/>
      <c r="U172" s="205"/>
      <c r="V172" s="103"/>
      <c r="W172" s="146"/>
      <c r="X172" s="146"/>
      <c r="Y172" s="146"/>
      <c r="Z172" s="210"/>
      <c r="AA172" s="210"/>
      <c r="AB172" s="210"/>
      <c r="AC172" s="210"/>
      <c r="AD172" s="210"/>
      <c r="AE172" s="146"/>
      <c r="AF172" s="210"/>
      <c r="AG172" s="210"/>
      <c r="AH172" s="209"/>
      <c r="AI172" s="210"/>
      <c r="AJ172" s="102"/>
      <c r="AK172" s="102"/>
      <c r="AL172" s="102"/>
      <c r="AM172" s="102"/>
      <c r="AN172" s="103"/>
      <c r="AO172" s="103"/>
      <c r="AP172" s="103"/>
      <c r="AQ172" s="103"/>
    </row>
    <row r="173" spans="1:43" s="95" customFormat="1" ht="17.5" x14ac:dyDescent="0.35">
      <c r="A173" s="103"/>
      <c r="B173" s="103"/>
      <c r="C173" s="205"/>
      <c r="D173" s="103"/>
      <c r="E173" s="205"/>
      <c r="F173" s="206"/>
      <c r="G173" s="207"/>
      <c r="H173" s="208"/>
      <c r="I173" s="103"/>
      <c r="J173" s="207"/>
      <c r="K173" s="205"/>
      <c r="L173" s="209"/>
      <c r="M173" s="210"/>
      <c r="N173" s="211"/>
      <c r="O173" s="437">
        <v>2030</v>
      </c>
      <c r="P173" s="298" t="s">
        <v>223</v>
      </c>
      <c r="S173" s="103"/>
      <c r="T173" s="103"/>
      <c r="U173" s="205"/>
      <c r="V173" s="103"/>
      <c r="W173" s="146"/>
      <c r="X173" s="146"/>
      <c r="Y173" s="146"/>
      <c r="Z173" s="210"/>
      <c r="AA173" s="210"/>
      <c r="AB173" s="210"/>
      <c r="AC173" s="210"/>
      <c r="AD173" s="210"/>
      <c r="AE173" s="146"/>
      <c r="AF173" s="210"/>
      <c r="AG173" s="210"/>
      <c r="AH173" s="209"/>
      <c r="AI173" s="210"/>
      <c r="AJ173" s="102"/>
      <c r="AK173" s="102"/>
      <c r="AL173" s="102"/>
      <c r="AM173" s="102"/>
      <c r="AN173" s="103"/>
      <c r="AO173" s="103"/>
      <c r="AP173" s="103"/>
      <c r="AQ173" s="103"/>
    </row>
    <row r="174" spans="1:43" s="95" customFormat="1" ht="17.5" x14ac:dyDescent="0.35">
      <c r="A174" s="103"/>
      <c r="B174" s="103"/>
      <c r="C174" s="205"/>
      <c r="D174" s="103"/>
      <c r="E174" s="205"/>
      <c r="F174" s="206"/>
      <c r="G174" s="207"/>
      <c r="H174" s="208"/>
      <c r="I174" s="103"/>
      <c r="J174" s="207"/>
      <c r="K174" s="205"/>
      <c r="L174" s="209"/>
      <c r="M174" s="210"/>
      <c r="N174" s="211"/>
      <c r="O174" s="438"/>
      <c r="P174" s="298" t="s">
        <v>224</v>
      </c>
      <c r="S174" s="103"/>
      <c r="T174" s="103"/>
      <c r="U174" s="205"/>
      <c r="V174" s="103"/>
      <c r="W174" s="146"/>
      <c r="X174" s="146"/>
      <c r="Y174" s="146"/>
      <c r="Z174" s="210"/>
      <c r="AA174" s="210"/>
      <c r="AB174" s="210"/>
      <c r="AC174" s="210"/>
      <c r="AD174" s="210"/>
      <c r="AE174" s="146"/>
      <c r="AF174" s="210"/>
      <c r="AG174" s="210"/>
      <c r="AH174" s="209"/>
      <c r="AI174" s="210"/>
      <c r="AJ174" s="102"/>
      <c r="AK174" s="102"/>
      <c r="AL174" s="102"/>
      <c r="AM174" s="102"/>
      <c r="AN174" s="103"/>
      <c r="AO174" s="103"/>
      <c r="AP174" s="103"/>
      <c r="AQ174" s="103"/>
    </row>
    <row r="175" spans="1:43" s="95" customFormat="1" ht="17.5" x14ac:dyDescent="0.35">
      <c r="A175" s="103"/>
      <c r="B175" s="103"/>
      <c r="C175" s="205"/>
      <c r="D175" s="103"/>
      <c r="E175" s="205"/>
      <c r="F175" s="206"/>
      <c r="G175" s="207"/>
      <c r="H175" s="208"/>
      <c r="I175" s="103"/>
      <c r="J175" s="207"/>
      <c r="K175" s="205"/>
      <c r="L175" s="209"/>
      <c r="M175" s="210"/>
      <c r="N175" s="211"/>
      <c r="O175" s="437">
        <v>2035</v>
      </c>
      <c r="P175" s="298" t="s">
        <v>223</v>
      </c>
      <c r="S175" s="103"/>
      <c r="T175" s="103"/>
      <c r="U175" s="205"/>
      <c r="V175" s="103"/>
      <c r="W175" s="146"/>
      <c r="X175" s="146"/>
      <c r="Y175" s="146"/>
      <c r="Z175" s="210"/>
      <c r="AA175" s="210"/>
      <c r="AB175" s="210"/>
      <c r="AC175" s="210"/>
      <c r="AD175" s="210"/>
      <c r="AE175" s="146"/>
      <c r="AF175" s="210"/>
      <c r="AG175" s="210"/>
      <c r="AH175" s="209"/>
      <c r="AI175" s="210"/>
      <c r="AJ175" s="102"/>
      <c r="AK175" s="102"/>
      <c r="AL175" s="102"/>
      <c r="AM175" s="102"/>
      <c r="AN175" s="103"/>
      <c r="AO175" s="103"/>
      <c r="AP175" s="103"/>
      <c r="AQ175" s="103"/>
    </row>
    <row r="176" spans="1:43" s="95" customFormat="1" ht="17.5" x14ac:dyDescent="0.35">
      <c r="A176" s="103"/>
      <c r="B176" s="103"/>
      <c r="C176" s="205"/>
      <c r="D176" s="103"/>
      <c r="E176" s="205"/>
      <c r="F176" s="206"/>
      <c r="G176" s="207"/>
      <c r="H176" s="208"/>
      <c r="I176" s="103"/>
      <c r="J176" s="207"/>
      <c r="K176" s="205"/>
      <c r="L176" s="209"/>
      <c r="M176" s="210"/>
      <c r="N176" s="211"/>
      <c r="O176" s="438"/>
      <c r="P176" s="298" t="s">
        <v>109</v>
      </c>
      <c r="S176" s="103"/>
      <c r="T176" s="103"/>
      <c r="U176" s="205"/>
      <c r="V176" s="103"/>
      <c r="W176" s="146"/>
      <c r="X176" s="146"/>
      <c r="Y176" s="146"/>
      <c r="Z176" s="210"/>
      <c r="AA176" s="210"/>
      <c r="AB176" s="210"/>
      <c r="AC176" s="210"/>
      <c r="AD176" s="210"/>
      <c r="AE176" s="146"/>
      <c r="AF176" s="210"/>
      <c r="AG176" s="210"/>
      <c r="AH176" s="209"/>
      <c r="AI176" s="210"/>
      <c r="AJ176" s="102"/>
      <c r="AK176" s="102"/>
      <c r="AL176" s="102"/>
      <c r="AM176" s="102"/>
      <c r="AN176" s="103"/>
      <c r="AO176" s="103"/>
      <c r="AP176" s="103"/>
      <c r="AQ176" s="103"/>
    </row>
  </sheetData>
  <mergeCells count="114">
    <mergeCell ref="O169:P170"/>
    <mergeCell ref="O171:O172"/>
    <mergeCell ref="O173:O174"/>
    <mergeCell ref="O175:O176"/>
    <mergeCell ref="O156:O157"/>
    <mergeCell ref="O160:P161"/>
    <mergeCell ref="Q160:R160"/>
    <mergeCell ref="S160:T160"/>
    <mergeCell ref="O162:O163"/>
    <mergeCell ref="O164:O165"/>
    <mergeCell ref="O152:P153"/>
    <mergeCell ref="Q152:R152"/>
    <mergeCell ref="S152:T152"/>
    <mergeCell ref="O154:O155"/>
    <mergeCell ref="B130:O130"/>
    <mergeCell ref="A133:B133"/>
    <mergeCell ref="B134:O134"/>
    <mergeCell ref="A141:B141"/>
    <mergeCell ref="O145:P146"/>
    <mergeCell ref="Q145:Q146"/>
    <mergeCell ref="S145:S146"/>
    <mergeCell ref="B101:R101"/>
    <mergeCell ref="G98:G99"/>
    <mergeCell ref="H98:H99"/>
    <mergeCell ref="I98:I99"/>
    <mergeCell ref="J98:J99"/>
    <mergeCell ref="K98:K99"/>
    <mergeCell ref="L98:L99"/>
    <mergeCell ref="O147:O148"/>
    <mergeCell ref="O149:O150"/>
    <mergeCell ref="U136:V136"/>
    <mergeCell ref="B85:C85"/>
    <mergeCell ref="A98:A99"/>
    <mergeCell ref="B98:B99"/>
    <mergeCell ref="C98:C99"/>
    <mergeCell ref="E98:E99"/>
    <mergeCell ref="F98:F99"/>
    <mergeCell ref="S56:S57"/>
    <mergeCell ref="Q58:Q59"/>
    <mergeCell ref="Q60:Q61"/>
    <mergeCell ref="B69:C69"/>
    <mergeCell ref="B81:C81"/>
    <mergeCell ref="B82:C82"/>
    <mergeCell ref="M98:M99"/>
    <mergeCell ref="N98:N99"/>
    <mergeCell ref="O98:P98"/>
    <mergeCell ref="Q98:R98"/>
    <mergeCell ref="U101:V101"/>
    <mergeCell ref="U114:V114"/>
    <mergeCell ref="A115:B115"/>
    <mergeCell ref="B116:O116"/>
    <mergeCell ref="A128:B128"/>
    <mergeCell ref="B129:P129"/>
    <mergeCell ref="B100:R100"/>
    <mergeCell ref="B54:D54"/>
    <mergeCell ref="B55:C55"/>
    <mergeCell ref="Q56:R57"/>
    <mergeCell ref="G52:G53"/>
    <mergeCell ref="H52:H53"/>
    <mergeCell ref="I52:I53"/>
    <mergeCell ref="J52:J53"/>
    <mergeCell ref="K52:K53"/>
    <mergeCell ref="L52:L53"/>
    <mergeCell ref="A50:C50"/>
    <mergeCell ref="A52:A53"/>
    <mergeCell ref="B52:B53"/>
    <mergeCell ref="C52:C53"/>
    <mergeCell ref="E52:E53"/>
    <mergeCell ref="F52:F53"/>
    <mergeCell ref="AK9:AK10"/>
    <mergeCell ref="B21:C21"/>
    <mergeCell ref="T21:U21"/>
    <mergeCell ref="B33:C33"/>
    <mergeCell ref="B34:C34"/>
    <mergeCell ref="B37:C37"/>
    <mergeCell ref="M52:M53"/>
    <mergeCell ref="N52:N53"/>
    <mergeCell ref="O52:O53"/>
    <mergeCell ref="AN5:AN6"/>
    <mergeCell ref="B6:D6"/>
    <mergeCell ref="T6:Y6"/>
    <mergeCell ref="B7:C7"/>
    <mergeCell ref="T7:U7"/>
    <mergeCell ref="AK7:AK8"/>
    <mergeCell ref="AC4:AC5"/>
    <mergeCell ref="AD4:AD5"/>
    <mergeCell ref="AE4:AE5"/>
    <mergeCell ref="AF4:AF5"/>
    <mergeCell ref="AG4:AG5"/>
    <mergeCell ref="AH4:AH5"/>
    <mergeCell ref="V4:V5"/>
    <mergeCell ref="X4:X5"/>
    <mergeCell ref="Y4:Y5"/>
    <mergeCell ref="Z4:Z5"/>
    <mergeCell ref="AA4:AA5"/>
    <mergeCell ref="AB4:AB5"/>
    <mergeCell ref="M4:M5"/>
    <mergeCell ref="N4:N5"/>
    <mergeCell ref="O4:O5"/>
    <mergeCell ref="S4:S5"/>
    <mergeCell ref="T4:T5"/>
    <mergeCell ref="U4:U5"/>
    <mergeCell ref="G4:G5"/>
    <mergeCell ref="H4:H5"/>
    <mergeCell ref="I4:I5"/>
    <mergeCell ref="J4:J5"/>
    <mergeCell ref="K4:K5"/>
    <mergeCell ref="L4:L5"/>
    <mergeCell ref="A1:C2"/>
    <mergeCell ref="A4:A5"/>
    <mergeCell ref="B4:B5"/>
    <mergeCell ref="C4:C5"/>
    <mergeCell ref="E4:E5"/>
    <mergeCell ref="F4:F5"/>
  </mergeCells>
  <pageMargins left="0.7" right="0.7" top="0.75" bottom="0.75" header="0.3" footer="0.3"/>
  <pageSetup paperSize="9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44"/>
  <sheetViews>
    <sheetView zoomScaleNormal="100" workbookViewId="0">
      <pane xSplit="1" ySplit="2" topLeftCell="B3" activePane="bottomRight" state="frozen"/>
      <selection activeCell="C25" sqref="C25"/>
      <selection pane="topRight" activeCell="C25" sqref="C25"/>
      <selection pane="bottomLeft" activeCell="C25" sqref="C25"/>
      <selection pane="bottomRight" activeCell="C25" sqref="C25"/>
    </sheetView>
  </sheetViews>
  <sheetFormatPr defaultColWidth="8.7265625" defaultRowHeight="14" x14ac:dyDescent="0.3"/>
  <cols>
    <col min="1" max="2" width="8.7265625" style="303"/>
    <col min="3" max="3" width="26.453125" style="304" customWidth="1"/>
    <col min="4" max="4" width="8.7265625" style="304" customWidth="1"/>
    <col min="5" max="7" width="8.7265625" style="305" customWidth="1"/>
    <col min="8" max="8" width="15.453125" style="305" customWidth="1"/>
    <col min="9" max="10" width="8.7265625" style="305" customWidth="1"/>
    <col min="11" max="11" width="8.7265625" style="310" customWidth="1"/>
    <col min="12" max="12" width="13.81640625" style="310" customWidth="1"/>
    <col min="13" max="14" width="8.7265625" style="310" customWidth="1"/>
    <col min="15" max="17" width="8.7265625" style="304" customWidth="1"/>
    <col min="18" max="19" width="8.7265625" style="303"/>
    <col min="20" max="20" width="26.453125" style="304" customWidth="1"/>
    <col min="21" max="21" width="8.7265625" style="304"/>
    <col min="22" max="31" width="8.7265625" style="305"/>
    <col min="32" max="16384" width="8.7265625" style="304"/>
  </cols>
  <sheetData>
    <row r="1" spans="1:31" ht="14.5" customHeight="1" x14ac:dyDescent="0.3">
      <c r="A1" s="311" t="s">
        <v>0</v>
      </c>
      <c r="B1" s="311" t="s">
        <v>27</v>
      </c>
      <c r="C1" s="312" t="s">
        <v>28</v>
      </c>
      <c r="D1" s="312" t="s">
        <v>29</v>
      </c>
      <c r="E1" s="446">
        <v>2027</v>
      </c>
      <c r="F1" s="446"/>
      <c r="G1" s="453" t="s">
        <v>271</v>
      </c>
      <c r="H1" s="453"/>
      <c r="I1" s="453"/>
      <c r="J1" s="453"/>
      <c r="K1" s="454" t="s">
        <v>192</v>
      </c>
      <c r="L1" s="455"/>
      <c r="M1" s="455"/>
      <c r="N1" s="456"/>
      <c r="R1" s="311" t="s">
        <v>0</v>
      </c>
      <c r="S1" s="311" t="s">
        <v>27</v>
      </c>
      <c r="T1" s="312" t="s">
        <v>28</v>
      </c>
      <c r="U1" s="312" t="s">
        <v>29</v>
      </c>
      <c r="V1" s="469">
        <v>2027</v>
      </c>
      <c r="W1" s="469"/>
      <c r="X1" s="306"/>
      <c r="Y1" s="306"/>
      <c r="Z1" s="306"/>
      <c r="AA1" s="306"/>
      <c r="AB1" s="306"/>
      <c r="AC1" s="306"/>
      <c r="AD1" s="306"/>
      <c r="AE1" s="306"/>
    </row>
    <row r="2" spans="1:31" ht="28" x14ac:dyDescent="0.3">
      <c r="A2" s="311"/>
      <c r="B2" s="311"/>
      <c r="C2" s="312"/>
      <c r="D2" s="312" t="s">
        <v>30</v>
      </c>
      <c r="E2" s="306" t="s">
        <v>240</v>
      </c>
      <c r="F2" s="329" t="s">
        <v>279</v>
      </c>
      <c r="G2" s="308" t="s">
        <v>273</v>
      </c>
      <c r="H2" s="308" t="s">
        <v>274</v>
      </c>
      <c r="I2" s="308" t="s">
        <v>113</v>
      </c>
      <c r="J2" s="323" t="s">
        <v>281</v>
      </c>
      <c r="K2" s="325" t="s">
        <v>273</v>
      </c>
      <c r="L2" s="325" t="s">
        <v>274</v>
      </c>
      <c r="M2" s="325" t="s">
        <v>113</v>
      </c>
      <c r="N2" s="326" t="s">
        <v>279</v>
      </c>
      <c r="R2" s="311"/>
      <c r="S2" s="311"/>
      <c r="T2" s="312"/>
      <c r="U2" s="312" t="s">
        <v>30</v>
      </c>
      <c r="V2" s="331" t="s">
        <v>240</v>
      </c>
      <c r="W2" s="332" t="s">
        <v>279</v>
      </c>
      <c r="X2" s="324">
        <v>2028</v>
      </c>
      <c r="Y2" s="324">
        <v>2029</v>
      </c>
      <c r="Z2" s="324">
        <v>2030</v>
      </c>
      <c r="AA2" s="333">
        <v>2031</v>
      </c>
      <c r="AB2" s="333">
        <v>2032</v>
      </c>
      <c r="AC2" s="333">
        <v>2033</v>
      </c>
      <c r="AD2" s="333">
        <v>2034</v>
      </c>
      <c r="AE2" s="333">
        <v>2035</v>
      </c>
    </row>
    <row r="3" spans="1:31" x14ac:dyDescent="0.3">
      <c r="A3" s="313" t="s">
        <v>24</v>
      </c>
      <c r="B3" s="450" t="s">
        <v>31</v>
      </c>
      <c r="C3" s="451"/>
      <c r="D3" s="451"/>
      <c r="E3" s="451"/>
      <c r="F3" s="452"/>
      <c r="G3" s="306"/>
      <c r="H3" s="306"/>
      <c r="I3" s="309"/>
      <c r="J3" s="309"/>
      <c r="K3" s="309"/>
      <c r="L3" s="309"/>
      <c r="M3" s="309"/>
      <c r="N3" s="309"/>
      <c r="R3" s="313" t="s">
        <v>24</v>
      </c>
      <c r="S3" s="470" t="s">
        <v>31</v>
      </c>
      <c r="T3" s="470"/>
      <c r="U3" s="470"/>
      <c r="V3" s="470"/>
      <c r="W3" s="470"/>
      <c r="X3" s="308"/>
      <c r="Y3" s="308"/>
      <c r="Z3" s="308"/>
      <c r="AA3" s="325"/>
      <c r="AB3" s="325"/>
      <c r="AC3" s="325"/>
      <c r="AD3" s="325"/>
      <c r="AE3" s="325"/>
    </row>
    <row r="4" spans="1:31" x14ac:dyDescent="0.3">
      <c r="A4" s="314">
        <v>1.1000000000000001</v>
      </c>
      <c r="B4" s="445" t="s">
        <v>76</v>
      </c>
      <c r="C4" s="445"/>
      <c r="D4" s="445"/>
      <c r="E4" s="306"/>
      <c r="F4" s="330" t="s">
        <v>278</v>
      </c>
      <c r="G4" s="457" t="s">
        <v>277</v>
      </c>
      <c r="H4" s="458"/>
      <c r="I4" s="458"/>
      <c r="J4" s="459"/>
      <c r="K4" s="460" t="s">
        <v>280</v>
      </c>
      <c r="L4" s="461"/>
      <c r="M4" s="461"/>
      <c r="N4" s="462"/>
      <c r="R4" s="314">
        <v>1.1000000000000001</v>
      </c>
      <c r="S4" s="445" t="s">
        <v>76</v>
      </c>
      <c r="T4" s="445"/>
      <c r="U4" s="445"/>
      <c r="V4" s="306"/>
      <c r="W4" s="330" t="s">
        <v>278</v>
      </c>
      <c r="X4" s="463" t="s">
        <v>277</v>
      </c>
      <c r="Y4" s="464"/>
      <c r="Z4" s="465"/>
      <c r="AA4" s="466" t="s">
        <v>280</v>
      </c>
      <c r="AB4" s="467"/>
      <c r="AC4" s="467"/>
      <c r="AD4" s="467"/>
      <c r="AE4" s="468"/>
    </row>
    <row r="5" spans="1:31" ht="18" x14ac:dyDescent="0.3">
      <c r="A5" s="311">
        <v>1</v>
      </c>
      <c r="B5" s="311" t="s">
        <v>32</v>
      </c>
      <c r="C5" s="312" t="s">
        <v>33</v>
      </c>
      <c r="D5" s="312">
        <v>24.4</v>
      </c>
      <c r="E5" s="306">
        <v>3</v>
      </c>
      <c r="F5" s="306">
        <v>1</v>
      </c>
      <c r="G5" s="315">
        <v>5</v>
      </c>
      <c r="H5" s="315">
        <f>G5*1.1</f>
        <v>5.5</v>
      </c>
      <c r="I5" s="308">
        <v>4</v>
      </c>
      <c r="J5" s="316">
        <f t="shared" ref="J5" si="0">H5-I5</f>
        <v>1.5</v>
      </c>
      <c r="K5" s="315">
        <v>5</v>
      </c>
      <c r="L5" s="315">
        <f>K5*1.1</f>
        <v>5.5</v>
      </c>
      <c r="M5" s="317">
        <f>1+F5+J5</f>
        <v>3.5</v>
      </c>
      <c r="N5" s="317">
        <f>L5-M5</f>
        <v>2</v>
      </c>
      <c r="O5" s="307"/>
      <c r="R5" s="311">
        <v>1</v>
      </c>
      <c r="S5" s="311" t="s">
        <v>32</v>
      </c>
      <c r="T5" s="312" t="s">
        <v>33</v>
      </c>
      <c r="U5" s="312">
        <v>24.4</v>
      </c>
      <c r="V5" s="306">
        <v>3</v>
      </c>
      <c r="W5" s="306">
        <v>1</v>
      </c>
      <c r="X5" s="308"/>
      <c r="Y5" s="308"/>
      <c r="Z5" s="316">
        <v>1.5</v>
      </c>
      <c r="AA5" s="325"/>
      <c r="AB5" s="325">
        <v>2</v>
      </c>
      <c r="AC5" s="325"/>
      <c r="AD5" s="325"/>
      <c r="AE5" s="325"/>
    </row>
    <row r="6" spans="1:31" ht="18" x14ac:dyDescent="0.3">
      <c r="A6" s="311">
        <v>2</v>
      </c>
      <c r="B6" s="311" t="s">
        <v>34</v>
      </c>
      <c r="C6" s="312" t="s">
        <v>131</v>
      </c>
      <c r="D6" s="312">
        <v>25.2</v>
      </c>
      <c r="E6" s="306">
        <v>3</v>
      </c>
      <c r="F6" s="306">
        <v>1</v>
      </c>
      <c r="G6" s="318">
        <v>5</v>
      </c>
      <c r="H6" s="315">
        <f t="shared" ref="H6:H17" si="1">G6*1.1</f>
        <v>5.5</v>
      </c>
      <c r="I6" s="308">
        <v>4</v>
      </c>
      <c r="J6" s="316">
        <f t="shared" ref="J6:J17" si="2">H6-I6</f>
        <v>1.5</v>
      </c>
      <c r="K6" s="318">
        <v>5</v>
      </c>
      <c r="L6" s="315">
        <f t="shared" ref="L6:L17" si="3">K6*1.1</f>
        <v>5.5</v>
      </c>
      <c r="M6" s="317">
        <f>1+F6+J6</f>
        <v>3.5</v>
      </c>
      <c r="N6" s="317">
        <f t="shared" ref="N6:N8" si="4">L6-M6</f>
        <v>2</v>
      </c>
      <c r="R6" s="311">
        <v>2</v>
      </c>
      <c r="S6" s="311" t="s">
        <v>34</v>
      </c>
      <c r="T6" s="312" t="s">
        <v>131</v>
      </c>
      <c r="U6" s="312">
        <v>25.2</v>
      </c>
      <c r="V6" s="306">
        <v>3</v>
      </c>
      <c r="W6" s="306">
        <v>1</v>
      </c>
      <c r="X6" s="308"/>
      <c r="Y6" s="308"/>
      <c r="Z6" s="316">
        <v>1.5</v>
      </c>
      <c r="AA6" s="325"/>
      <c r="AB6" s="325"/>
      <c r="AC6" s="325">
        <v>2</v>
      </c>
      <c r="AD6" s="325"/>
      <c r="AE6" s="325"/>
    </row>
    <row r="7" spans="1:31" ht="18" x14ac:dyDescent="0.3">
      <c r="A7" s="311">
        <v>3</v>
      </c>
      <c r="B7" s="311" t="s">
        <v>36</v>
      </c>
      <c r="C7" s="312" t="s">
        <v>69</v>
      </c>
      <c r="D7" s="312">
        <v>20</v>
      </c>
      <c r="E7" s="306">
        <v>1</v>
      </c>
      <c r="F7" s="306">
        <v>0</v>
      </c>
      <c r="G7" s="318">
        <v>2</v>
      </c>
      <c r="H7" s="315">
        <f t="shared" si="1"/>
        <v>2.2000000000000002</v>
      </c>
      <c r="I7" s="308">
        <v>1</v>
      </c>
      <c r="J7" s="316">
        <f t="shared" si="2"/>
        <v>1.2000000000000002</v>
      </c>
      <c r="K7" s="318">
        <v>2</v>
      </c>
      <c r="L7" s="315">
        <f t="shared" si="3"/>
        <v>2.2000000000000002</v>
      </c>
      <c r="M7" s="317">
        <f>J7</f>
        <v>1.2000000000000002</v>
      </c>
      <c r="N7" s="317">
        <f t="shared" si="4"/>
        <v>1</v>
      </c>
      <c r="R7" s="311">
        <v>3</v>
      </c>
      <c r="S7" s="311" t="s">
        <v>36</v>
      </c>
      <c r="T7" s="312" t="s">
        <v>69</v>
      </c>
      <c r="U7" s="312">
        <v>20</v>
      </c>
      <c r="V7" s="306">
        <v>1</v>
      </c>
      <c r="W7" s="306">
        <v>0</v>
      </c>
      <c r="X7" s="308"/>
      <c r="Y7" s="308"/>
      <c r="Z7" s="316">
        <v>1.2000000000000002</v>
      </c>
      <c r="AA7" s="325"/>
      <c r="AB7" s="325"/>
      <c r="AC7" s="325"/>
      <c r="AD7" s="325">
        <v>1</v>
      </c>
      <c r="AE7" s="325"/>
    </row>
    <row r="8" spans="1:31" ht="18" x14ac:dyDescent="0.3">
      <c r="A8" s="311">
        <v>4</v>
      </c>
      <c r="B8" s="311" t="s">
        <v>37</v>
      </c>
      <c r="C8" s="312" t="s">
        <v>38</v>
      </c>
      <c r="D8" s="312">
        <v>43.9</v>
      </c>
      <c r="E8" s="306">
        <v>3</v>
      </c>
      <c r="F8" s="306">
        <v>0</v>
      </c>
      <c r="G8" s="318">
        <v>3</v>
      </c>
      <c r="H8" s="315">
        <f t="shared" si="1"/>
        <v>3.3000000000000003</v>
      </c>
      <c r="I8" s="308">
        <f>E8+F8</f>
        <v>3</v>
      </c>
      <c r="J8" s="316">
        <f t="shared" si="2"/>
        <v>0.30000000000000027</v>
      </c>
      <c r="K8" s="318">
        <v>3</v>
      </c>
      <c r="L8" s="315">
        <f t="shared" si="3"/>
        <v>3.3000000000000003</v>
      </c>
      <c r="M8" s="317">
        <f t="shared" ref="M8:M9" si="5">J8</f>
        <v>0.30000000000000027</v>
      </c>
      <c r="N8" s="317">
        <f t="shared" si="4"/>
        <v>3</v>
      </c>
      <c r="R8" s="311">
        <v>4</v>
      </c>
      <c r="S8" s="311" t="s">
        <v>37</v>
      </c>
      <c r="T8" s="312" t="s">
        <v>38</v>
      </c>
      <c r="U8" s="312">
        <v>43.9</v>
      </c>
      <c r="V8" s="306">
        <v>3</v>
      </c>
      <c r="W8" s="306">
        <v>0</v>
      </c>
      <c r="X8" s="308"/>
      <c r="Y8" s="308"/>
      <c r="Z8" s="316">
        <v>0.30000000000000027</v>
      </c>
      <c r="AA8" s="325"/>
      <c r="AB8" s="325"/>
      <c r="AC8" s="325"/>
      <c r="AD8" s="325"/>
      <c r="AE8" s="325">
        <v>3</v>
      </c>
    </row>
    <row r="9" spans="1:31" ht="18" x14ac:dyDescent="0.3">
      <c r="A9" s="311">
        <v>5</v>
      </c>
      <c r="B9" s="311" t="s">
        <v>39</v>
      </c>
      <c r="C9" s="312" t="s">
        <v>40</v>
      </c>
      <c r="D9" s="312">
        <v>37</v>
      </c>
      <c r="E9" s="306">
        <v>1</v>
      </c>
      <c r="F9" s="306">
        <v>0</v>
      </c>
      <c r="G9" s="318">
        <v>2</v>
      </c>
      <c r="H9" s="315">
        <f t="shared" si="1"/>
        <v>2.2000000000000002</v>
      </c>
      <c r="I9" s="308">
        <f t="shared" ref="I9:I17" si="6">E9+F9</f>
        <v>1</v>
      </c>
      <c r="J9" s="316">
        <f t="shared" si="2"/>
        <v>1.2000000000000002</v>
      </c>
      <c r="K9" s="318">
        <v>2</v>
      </c>
      <c r="L9" s="315">
        <f t="shared" si="3"/>
        <v>2.2000000000000002</v>
      </c>
      <c r="M9" s="317">
        <f t="shared" si="5"/>
        <v>1.2000000000000002</v>
      </c>
      <c r="N9" s="317">
        <f t="shared" ref="N9:N17" si="7">L9-M9</f>
        <v>1</v>
      </c>
      <c r="R9" s="311">
        <v>5</v>
      </c>
      <c r="S9" s="311" t="s">
        <v>39</v>
      </c>
      <c r="T9" s="312" t="s">
        <v>40</v>
      </c>
      <c r="U9" s="312">
        <v>37</v>
      </c>
      <c r="V9" s="306">
        <v>1</v>
      </c>
      <c r="W9" s="306">
        <v>0</v>
      </c>
      <c r="X9" s="308"/>
      <c r="Y9" s="308"/>
      <c r="Z9" s="316">
        <v>1.2000000000000002</v>
      </c>
      <c r="AA9" s="325"/>
      <c r="AB9" s="325"/>
      <c r="AC9" s="325"/>
      <c r="AD9" s="325"/>
      <c r="AE9" s="325">
        <v>1</v>
      </c>
    </row>
    <row r="10" spans="1:31" ht="18" x14ac:dyDescent="0.3">
      <c r="A10" s="311">
        <v>6</v>
      </c>
      <c r="B10" s="311" t="s">
        <v>272</v>
      </c>
      <c r="C10" s="312" t="s">
        <v>177</v>
      </c>
      <c r="D10" s="312">
        <v>24.5</v>
      </c>
      <c r="E10" s="306">
        <v>2</v>
      </c>
      <c r="F10" s="306">
        <v>1</v>
      </c>
      <c r="G10" s="318">
        <v>3</v>
      </c>
      <c r="H10" s="315">
        <f t="shared" si="1"/>
        <v>3.3000000000000003</v>
      </c>
      <c r="I10" s="308">
        <f t="shared" si="6"/>
        <v>3</v>
      </c>
      <c r="J10" s="316">
        <f t="shared" si="2"/>
        <v>0.30000000000000027</v>
      </c>
      <c r="K10" s="318">
        <v>3</v>
      </c>
      <c r="L10" s="315">
        <f t="shared" si="3"/>
        <v>3.3000000000000003</v>
      </c>
      <c r="M10" s="317">
        <f>F10+J10</f>
        <v>1.3000000000000003</v>
      </c>
      <c r="N10" s="317">
        <f t="shared" si="7"/>
        <v>2</v>
      </c>
      <c r="R10" s="311">
        <v>6</v>
      </c>
      <c r="S10" s="311" t="s">
        <v>272</v>
      </c>
      <c r="T10" s="312" t="s">
        <v>177</v>
      </c>
      <c r="U10" s="312">
        <v>24.5</v>
      </c>
      <c r="V10" s="306">
        <v>2</v>
      </c>
      <c r="W10" s="306">
        <v>1</v>
      </c>
      <c r="X10" s="308"/>
      <c r="Y10" s="308"/>
      <c r="Z10" s="316">
        <v>0.30000000000000027</v>
      </c>
      <c r="AA10" s="325">
        <v>2</v>
      </c>
      <c r="AB10" s="325"/>
      <c r="AC10" s="325"/>
      <c r="AD10" s="325"/>
      <c r="AE10" s="325"/>
    </row>
    <row r="11" spans="1:31" ht="18" x14ac:dyDescent="0.3">
      <c r="A11" s="311">
        <v>7</v>
      </c>
      <c r="B11" s="311" t="s">
        <v>43</v>
      </c>
      <c r="C11" s="312" t="s">
        <v>178</v>
      </c>
      <c r="D11" s="312">
        <v>24.2</v>
      </c>
      <c r="E11" s="306">
        <v>1</v>
      </c>
      <c r="F11" s="306">
        <v>1</v>
      </c>
      <c r="G11" s="318">
        <v>3</v>
      </c>
      <c r="H11" s="315">
        <f t="shared" si="1"/>
        <v>3.3000000000000003</v>
      </c>
      <c r="I11" s="308">
        <f t="shared" si="6"/>
        <v>2</v>
      </c>
      <c r="J11" s="316">
        <f t="shared" si="2"/>
        <v>1.3000000000000003</v>
      </c>
      <c r="K11" s="318">
        <v>3</v>
      </c>
      <c r="L11" s="315">
        <f t="shared" si="3"/>
        <v>3.3000000000000003</v>
      </c>
      <c r="M11" s="317">
        <f t="shared" ref="M11:M16" si="8">F11+J11</f>
        <v>2.3000000000000003</v>
      </c>
      <c r="N11" s="317">
        <f t="shared" si="7"/>
        <v>1</v>
      </c>
      <c r="R11" s="311">
        <v>7</v>
      </c>
      <c r="S11" s="311" t="s">
        <v>43</v>
      </c>
      <c r="T11" s="312" t="s">
        <v>178</v>
      </c>
      <c r="U11" s="312">
        <v>24.2</v>
      </c>
      <c r="V11" s="306">
        <v>1</v>
      </c>
      <c r="W11" s="306">
        <v>1</v>
      </c>
      <c r="X11" s="308"/>
      <c r="Y11" s="316">
        <v>1.3000000000000003</v>
      </c>
      <c r="Z11" s="308"/>
      <c r="AA11" s="325"/>
      <c r="AB11" s="325"/>
      <c r="AC11" s="325"/>
      <c r="AD11" s="325">
        <v>1</v>
      </c>
      <c r="AE11" s="325"/>
    </row>
    <row r="12" spans="1:31" ht="18" x14ac:dyDescent="0.3">
      <c r="A12" s="311">
        <v>8</v>
      </c>
      <c r="B12" s="311" t="s">
        <v>45</v>
      </c>
      <c r="C12" s="312" t="s">
        <v>179</v>
      </c>
      <c r="D12" s="312">
        <v>25.6</v>
      </c>
      <c r="E12" s="306">
        <v>1</v>
      </c>
      <c r="F12" s="306">
        <v>1</v>
      </c>
      <c r="G12" s="318">
        <v>3</v>
      </c>
      <c r="H12" s="315">
        <f t="shared" si="1"/>
        <v>3.3000000000000003</v>
      </c>
      <c r="I12" s="308">
        <f t="shared" si="6"/>
        <v>2</v>
      </c>
      <c r="J12" s="316">
        <f t="shared" si="2"/>
        <v>1.3000000000000003</v>
      </c>
      <c r="K12" s="318">
        <v>3</v>
      </c>
      <c r="L12" s="315">
        <f t="shared" si="3"/>
        <v>3.3000000000000003</v>
      </c>
      <c r="M12" s="317">
        <f t="shared" si="8"/>
        <v>2.3000000000000003</v>
      </c>
      <c r="N12" s="317">
        <f t="shared" si="7"/>
        <v>1</v>
      </c>
      <c r="R12" s="311">
        <v>8</v>
      </c>
      <c r="S12" s="311" t="s">
        <v>45</v>
      </c>
      <c r="T12" s="312" t="s">
        <v>179</v>
      </c>
      <c r="U12" s="312">
        <v>25.6</v>
      </c>
      <c r="V12" s="306">
        <v>1</v>
      </c>
      <c r="W12" s="306">
        <v>1</v>
      </c>
      <c r="X12" s="308"/>
      <c r="Y12" s="316">
        <v>1.3000000000000003</v>
      </c>
      <c r="Z12" s="308"/>
      <c r="AA12" s="325"/>
      <c r="AB12" s="325"/>
      <c r="AC12" s="325"/>
      <c r="AD12" s="325">
        <v>1</v>
      </c>
      <c r="AE12" s="325"/>
    </row>
    <row r="13" spans="1:31" ht="18" x14ac:dyDescent="0.3">
      <c r="A13" s="311">
        <v>9</v>
      </c>
      <c r="B13" s="311" t="s">
        <v>47</v>
      </c>
      <c r="C13" s="312" t="s">
        <v>70</v>
      </c>
      <c r="D13" s="312">
        <v>45</v>
      </c>
      <c r="E13" s="306">
        <v>1</v>
      </c>
      <c r="F13" s="306">
        <v>0</v>
      </c>
      <c r="G13" s="318">
        <v>2</v>
      </c>
      <c r="H13" s="315">
        <f t="shared" si="1"/>
        <v>2.2000000000000002</v>
      </c>
      <c r="I13" s="308">
        <v>0</v>
      </c>
      <c r="J13" s="316">
        <f t="shared" si="2"/>
        <v>2.2000000000000002</v>
      </c>
      <c r="K13" s="318">
        <v>2</v>
      </c>
      <c r="L13" s="315">
        <f t="shared" si="3"/>
        <v>2.2000000000000002</v>
      </c>
      <c r="M13" s="317">
        <f t="shared" si="8"/>
        <v>2.2000000000000002</v>
      </c>
      <c r="N13" s="317">
        <f t="shared" si="7"/>
        <v>0</v>
      </c>
      <c r="R13" s="311">
        <v>9</v>
      </c>
      <c r="S13" s="311" t="s">
        <v>47</v>
      </c>
      <c r="T13" s="312" t="s">
        <v>70</v>
      </c>
      <c r="U13" s="312">
        <v>45</v>
      </c>
      <c r="V13" s="306">
        <v>1</v>
      </c>
      <c r="W13" s="306">
        <v>0</v>
      </c>
      <c r="X13" s="308"/>
      <c r="Y13" s="308"/>
      <c r="Z13" s="316">
        <v>2.2000000000000002</v>
      </c>
      <c r="AA13" s="325"/>
      <c r="AB13" s="325"/>
      <c r="AC13" s="325"/>
      <c r="AD13" s="325"/>
      <c r="AE13" s="325"/>
    </row>
    <row r="14" spans="1:31" ht="18" x14ac:dyDescent="0.3">
      <c r="A14" s="311">
        <v>10</v>
      </c>
      <c r="B14" s="311" t="s">
        <v>48</v>
      </c>
      <c r="C14" s="312" t="s">
        <v>49</v>
      </c>
      <c r="D14" s="312">
        <v>68</v>
      </c>
      <c r="E14" s="306">
        <v>0</v>
      </c>
      <c r="F14" s="306">
        <v>0</v>
      </c>
      <c r="G14" s="318">
        <v>3</v>
      </c>
      <c r="H14" s="315">
        <f t="shared" si="1"/>
        <v>3.3000000000000003</v>
      </c>
      <c r="I14" s="308">
        <f t="shared" si="6"/>
        <v>0</v>
      </c>
      <c r="J14" s="316">
        <f t="shared" si="2"/>
        <v>3.3000000000000003</v>
      </c>
      <c r="K14" s="318">
        <v>3</v>
      </c>
      <c r="L14" s="315">
        <f t="shared" si="3"/>
        <v>3.3000000000000003</v>
      </c>
      <c r="M14" s="317">
        <f t="shared" si="8"/>
        <v>3.3000000000000003</v>
      </c>
      <c r="N14" s="317">
        <f t="shared" si="7"/>
        <v>0</v>
      </c>
      <c r="R14" s="311">
        <v>10</v>
      </c>
      <c r="S14" s="311" t="s">
        <v>48</v>
      </c>
      <c r="T14" s="312" t="s">
        <v>49</v>
      </c>
      <c r="U14" s="312">
        <v>68</v>
      </c>
      <c r="V14" s="306">
        <v>0</v>
      </c>
      <c r="W14" s="306">
        <v>0</v>
      </c>
      <c r="X14" s="308">
        <v>3.3000000000000003</v>
      </c>
      <c r="Y14" s="308"/>
      <c r="Z14" s="308"/>
      <c r="AA14" s="325"/>
      <c r="AB14" s="325"/>
      <c r="AC14" s="325"/>
      <c r="AD14" s="325"/>
      <c r="AE14" s="325"/>
    </row>
    <row r="15" spans="1:31" ht="18" x14ac:dyDescent="0.3">
      <c r="A15" s="311">
        <v>11</v>
      </c>
      <c r="B15" s="311" t="s">
        <v>50</v>
      </c>
      <c r="C15" s="312" t="s">
        <v>71</v>
      </c>
      <c r="D15" s="312">
        <v>69</v>
      </c>
      <c r="E15" s="306">
        <v>0</v>
      </c>
      <c r="F15" s="306">
        <v>0</v>
      </c>
      <c r="G15" s="318">
        <v>3</v>
      </c>
      <c r="H15" s="315">
        <f t="shared" si="1"/>
        <v>3.3000000000000003</v>
      </c>
      <c r="I15" s="308">
        <f t="shared" si="6"/>
        <v>0</v>
      </c>
      <c r="J15" s="316">
        <f t="shared" si="2"/>
        <v>3.3000000000000003</v>
      </c>
      <c r="K15" s="318">
        <v>3</v>
      </c>
      <c r="L15" s="315">
        <f t="shared" si="3"/>
        <v>3.3000000000000003</v>
      </c>
      <c r="M15" s="317">
        <f t="shared" si="8"/>
        <v>3.3000000000000003</v>
      </c>
      <c r="N15" s="317">
        <f t="shared" si="7"/>
        <v>0</v>
      </c>
      <c r="R15" s="311">
        <v>11</v>
      </c>
      <c r="S15" s="311" t="s">
        <v>50</v>
      </c>
      <c r="T15" s="312" t="s">
        <v>71</v>
      </c>
      <c r="U15" s="312">
        <v>69</v>
      </c>
      <c r="V15" s="306">
        <v>0</v>
      </c>
      <c r="W15" s="306">
        <v>0</v>
      </c>
      <c r="X15" s="308">
        <v>3.3000000000000003</v>
      </c>
      <c r="Y15" s="308"/>
      <c r="Z15" s="308"/>
      <c r="AA15" s="325"/>
      <c r="AB15" s="325"/>
      <c r="AC15" s="325"/>
      <c r="AD15" s="325"/>
      <c r="AE15" s="325"/>
    </row>
    <row r="16" spans="1:31" ht="18" x14ac:dyDescent="0.3">
      <c r="A16" s="311">
        <v>12</v>
      </c>
      <c r="B16" s="311" t="s">
        <v>53</v>
      </c>
      <c r="C16" s="312" t="s">
        <v>54</v>
      </c>
      <c r="D16" s="312">
        <v>67</v>
      </c>
      <c r="E16" s="306">
        <v>0</v>
      </c>
      <c r="F16" s="306">
        <v>0</v>
      </c>
      <c r="G16" s="318">
        <v>3</v>
      </c>
      <c r="H16" s="315">
        <f t="shared" si="1"/>
        <v>3.3000000000000003</v>
      </c>
      <c r="I16" s="308">
        <f t="shared" si="6"/>
        <v>0</v>
      </c>
      <c r="J16" s="316">
        <f t="shared" si="2"/>
        <v>3.3000000000000003</v>
      </c>
      <c r="K16" s="318">
        <v>3</v>
      </c>
      <c r="L16" s="315">
        <f t="shared" si="3"/>
        <v>3.3000000000000003</v>
      </c>
      <c r="M16" s="317">
        <f t="shared" si="8"/>
        <v>3.3000000000000003</v>
      </c>
      <c r="N16" s="317">
        <f t="shared" si="7"/>
        <v>0</v>
      </c>
      <c r="R16" s="311">
        <v>12</v>
      </c>
      <c r="S16" s="311" t="s">
        <v>53</v>
      </c>
      <c r="T16" s="312" t="s">
        <v>54</v>
      </c>
      <c r="U16" s="312">
        <v>67</v>
      </c>
      <c r="V16" s="306">
        <v>0</v>
      </c>
      <c r="W16" s="306">
        <v>0</v>
      </c>
      <c r="X16" s="308"/>
      <c r="Y16" s="308">
        <v>3.3000000000000003</v>
      </c>
      <c r="Z16" s="308"/>
      <c r="AA16" s="325"/>
      <c r="AB16" s="325"/>
      <c r="AC16" s="325"/>
      <c r="AD16" s="325"/>
      <c r="AE16" s="325"/>
    </row>
    <row r="17" spans="1:33" ht="18" x14ac:dyDescent="0.3">
      <c r="A17" s="311">
        <v>13</v>
      </c>
      <c r="B17" s="311" t="s">
        <v>55</v>
      </c>
      <c r="C17" s="312" t="s">
        <v>56</v>
      </c>
      <c r="D17" s="312">
        <v>60</v>
      </c>
      <c r="E17" s="306">
        <v>0</v>
      </c>
      <c r="F17" s="306">
        <v>0</v>
      </c>
      <c r="G17" s="318">
        <v>3</v>
      </c>
      <c r="H17" s="315">
        <f t="shared" si="1"/>
        <v>3.3000000000000003</v>
      </c>
      <c r="I17" s="308">
        <f t="shared" si="6"/>
        <v>0</v>
      </c>
      <c r="J17" s="316">
        <f t="shared" si="2"/>
        <v>3.3000000000000003</v>
      </c>
      <c r="K17" s="318">
        <v>3</v>
      </c>
      <c r="L17" s="315">
        <f t="shared" si="3"/>
        <v>3.3000000000000003</v>
      </c>
      <c r="M17" s="317">
        <f>F17+J17</f>
        <v>3.3000000000000003</v>
      </c>
      <c r="N17" s="317">
        <f t="shared" si="7"/>
        <v>0</v>
      </c>
      <c r="R17" s="311">
        <v>13</v>
      </c>
      <c r="S17" s="311" t="s">
        <v>55</v>
      </c>
      <c r="T17" s="312" t="s">
        <v>56</v>
      </c>
      <c r="U17" s="312">
        <v>60</v>
      </c>
      <c r="V17" s="306">
        <v>0</v>
      </c>
      <c r="W17" s="306">
        <v>0</v>
      </c>
      <c r="X17" s="308"/>
      <c r="Y17" s="308">
        <v>3.3000000000000003</v>
      </c>
      <c r="Z17" s="308"/>
      <c r="AA17" s="325"/>
      <c r="AB17" s="325"/>
      <c r="AC17" s="325"/>
      <c r="AD17" s="325"/>
      <c r="AE17" s="325"/>
    </row>
    <row r="18" spans="1:33" x14ac:dyDescent="0.3">
      <c r="A18" s="314" t="s">
        <v>260</v>
      </c>
      <c r="B18" s="314"/>
      <c r="C18" s="312"/>
      <c r="D18" s="312"/>
      <c r="E18" s="319">
        <f>SUM(E5:E17)</f>
        <v>16</v>
      </c>
      <c r="F18" s="319">
        <f t="shared" ref="F18:J18" si="9">SUM(F5:F17)</f>
        <v>5</v>
      </c>
      <c r="G18" s="319">
        <f t="shared" si="9"/>
        <v>40</v>
      </c>
      <c r="H18" s="319">
        <f t="shared" si="9"/>
        <v>43.999999999999993</v>
      </c>
      <c r="I18" s="319">
        <f t="shared" si="9"/>
        <v>20</v>
      </c>
      <c r="J18" s="319">
        <f t="shared" si="9"/>
        <v>24.000000000000004</v>
      </c>
      <c r="K18" s="319">
        <f t="shared" ref="K18" si="10">SUM(K5:K17)</f>
        <v>40</v>
      </c>
      <c r="L18" s="319">
        <f t="shared" ref="L18" si="11">SUM(L5:L17)</f>
        <v>43.999999999999993</v>
      </c>
      <c r="M18" s="319">
        <f t="shared" ref="M18" si="12">SUM(M5:M17)</f>
        <v>31.000000000000004</v>
      </c>
      <c r="N18" s="319">
        <f t="shared" ref="N18" si="13">SUM(N5:N17)</f>
        <v>13</v>
      </c>
      <c r="R18" s="314" t="s">
        <v>260</v>
      </c>
      <c r="S18" s="314"/>
      <c r="T18" s="312"/>
      <c r="U18" s="312"/>
      <c r="V18" s="319">
        <f>SUM(V5:V17)</f>
        <v>16</v>
      </c>
      <c r="W18" s="319">
        <f t="shared" ref="W18" si="14">SUM(W5:W17)</f>
        <v>5</v>
      </c>
      <c r="X18" s="319">
        <v>6</v>
      </c>
      <c r="Y18" s="319">
        <v>9</v>
      </c>
      <c r="Z18" s="319">
        <v>8</v>
      </c>
      <c r="AA18" s="319">
        <f t="shared" ref="AA18" si="15">SUM(AA5:AA17)</f>
        <v>2</v>
      </c>
      <c r="AB18" s="319">
        <f>SUM(AB5:AB17)</f>
        <v>2</v>
      </c>
      <c r="AC18" s="319">
        <f t="shared" ref="AC18" si="16">SUM(AC5:AC17)</f>
        <v>2</v>
      </c>
      <c r="AD18" s="319">
        <f t="shared" ref="AD18" si="17">SUM(AD5:AD17)</f>
        <v>3</v>
      </c>
      <c r="AE18" s="319">
        <f t="shared" ref="AE18" si="18">SUM(AE5:AE17)</f>
        <v>4</v>
      </c>
      <c r="AF18" s="304">
        <v>44</v>
      </c>
      <c r="AG18" s="304">
        <v>13</v>
      </c>
    </row>
    <row r="19" spans="1:33" x14ac:dyDescent="0.3">
      <c r="A19" s="314">
        <v>1.2</v>
      </c>
      <c r="B19" s="445" t="s">
        <v>214</v>
      </c>
      <c r="C19" s="445"/>
      <c r="D19" s="445"/>
      <c r="E19" s="306"/>
      <c r="F19" s="306"/>
      <c r="G19" s="306"/>
      <c r="H19" s="306"/>
      <c r="I19" s="309"/>
      <c r="J19" s="309"/>
      <c r="K19" s="309"/>
      <c r="L19" s="309"/>
      <c r="M19" s="309"/>
      <c r="N19" s="309"/>
      <c r="R19" s="314">
        <v>1.2</v>
      </c>
      <c r="S19" s="445" t="s">
        <v>282</v>
      </c>
      <c r="T19" s="445"/>
      <c r="U19" s="445"/>
      <c r="V19" s="306"/>
      <c r="W19" s="306"/>
      <c r="X19" s="306"/>
      <c r="Y19" s="306"/>
      <c r="Z19" s="306"/>
      <c r="AA19" s="306"/>
      <c r="AB19" s="306"/>
      <c r="AC19" s="306"/>
      <c r="AD19" s="306"/>
      <c r="AE19" s="306"/>
    </row>
    <row r="20" spans="1:33" ht="18" x14ac:dyDescent="0.3">
      <c r="A20" s="311">
        <v>1</v>
      </c>
      <c r="B20" s="311" t="s">
        <v>78</v>
      </c>
      <c r="C20" s="312" t="s">
        <v>79</v>
      </c>
      <c r="D20" s="312">
        <v>78</v>
      </c>
      <c r="E20" s="306">
        <v>3</v>
      </c>
      <c r="F20" s="306">
        <v>0</v>
      </c>
      <c r="G20" s="315">
        <v>6</v>
      </c>
      <c r="H20" s="315">
        <f t="shared" ref="H20:H30" si="19">G20*1.1</f>
        <v>6.6000000000000005</v>
      </c>
      <c r="I20" s="308">
        <f t="shared" ref="I20:I30" si="20">E20+F20</f>
        <v>3</v>
      </c>
      <c r="J20" s="316">
        <f>H20-I20</f>
        <v>3.6000000000000005</v>
      </c>
      <c r="K20" s="315">
        <v>6</v>
      </c>
      <c r="L20" s="315">
        <f t="shared" ref="L20:L30" si="21">K20*1.1</f>
        <v>6.6000000000000005</v>
      </c>
      <c r="M20" s="317">
        <f>E20+F20+J20</f>
        <v>6.6000000000000005</v>
      </c>
      <c r="N20" s="317">
        <f t="shared" ref="N20:N30" si="22">L20-M20</f>
        <v>0</v>
      </c>
      <c r="R20" s="311">
        <v>1</v>
      </c>
      <c r="S20" s="311" t="s">
        <v>78</v>
      </c>
      <c r="T20" s="312" t="s">
        <v>79</v>
      </c>
      <c r="U20" s="312">
        <v>78</v>
      </c>
      <c r="V20" s="306">
        <v>3</v>
      </c>
      <c r="W20" s="306">
        <v>0</v>
      </c>
      <c r="X20" s="306"/>
      <c r="Y20" s="306">
        <v>1.6</v>
      </c>
      <c r="Z20" s="306">
        <v>2</v>
      </c>
      <c r="AA20" s="306"/>
      <c r="AB20" s="306"/>
      <c r="AC20" s="306"/>
      <c r="AD20" s="306"/>
      <c r="AE20" s="306"/>
    </row>
    <row r="21" spans="1:33" ht="18" x14ac:dyDescent="0.3">
      <c r="A21" s="311">
        <v>2</v>
      </c>
      <c r="B21" s="311" t="s">
        <v>80</v>
      </c>
      <c r="C21" s="312" t="s">
        <v>180</v>
      </c>
      <c r="D21" s="312">
        <v>64.5</v>
      </c>
      <c r="E21" s="306">
        <v>4</v>
      </c>
      <c r="F21" s="306">
        <v>0</v>
      </c>
      <c r="G21" s="318">
        <v>5</v>
      </c>
      <c r="H21" s="315">
        <f t="shared" si="19"/>
        <v>5.5</v>
      </c>
      <c r="I21" s="308">
        <f t="shared" si="20"/>
        <v>4</v>
      </c>
      <c r="J21" s="316">
        <f t="shared" ref="J21:J30" si="23">H21-I21</f>
        <v>1.5</v>
      </c>
      <c r="K21" s="318">
        <v>5</v>
      </c>
      <c r="L21" s="315">
        <f t="shared" si="21"/>
        <v>5.5</v>
      </c>
      <c r="M21" s="317">
        <f t="shared" ref="M21:M30" si="24">E21+F21+J21</f>
        <v>5.5</v>
      </c>
      <c r="N21" s="317">
        <f t="shared" si="22"/>
        <v>0</v>
      </c>
      <c r="R21" s="311">
        <v>2</v>
      </c>
      <c r="S21" s="311" t="s">
        <v>80</v>
      </c>
      <c r="T21" s="312" t="s">
        <v>180</v>
      </c>
      <c r="U21" s="312">
        <v>64.5</v>
      </c>
      <c r="V21" s="306">
        <v>4</v>
      </c>
      <c r="W21" s="306">
        <v>0</v>
      </c>
      <c r="X21" s="306">
        <v>1.5</v>
      </c>
      <c r="Y21" s="306"/>
      <c r="Z21" s="306"/>
      <c r="AA21" s="306"/>
      <c r="AB21" s="306"/>
      <c r="AC21" s="306"/>
      <c r="AD21" s="306"/>
      <c r="AE21" s="306"/>
    </row>
    <row r="22" spans="1:33" ht="18" x14ac:dyDescent="0.3">
      <c r="A22" s="311">
        <v>3</v>
      </c>
      <c r="B22" s="311" t="s">
        <v>81</v>
      </c>
      <c r="C22" s="312" t="s">
        <v>181</v>
      </c>
      <c r="D22" s="312">
        <v>40</v>
      </c>
      <c r="E22" s="306">
        <v>0</v>
      </c>
      <c r="F22" s="306">
        <v>0</v>
      </c>
      <c r="G22" s="318">
        <v>2</v>
      </c>
      <c r="H22" s="315">
        <f t="shared" si="19"/>
        <v>2.2000000000000002</v>
      </c>
      <c r="I22" s="308">
        <f t="shared" si="20"/>
        <v>0</v>
      </c>
      <c r="J22" s="316">
        <f t="shared" si="23"/>
        <v>2.2000000000000002</v>
      </c>
      <c r="K22" s="318">
        <v>2</v>
      </c>
      <c r="L22" s="315">
        <f t="shared" si="21"/>
        <v>2.2000000000000002</v>
      </c>
      <c r="M22" s="317">
        <f t="shared" si="24"/>
        <v>2.2000000000000002</v>
      </c>
      <c r="N22" s="317">
        <f t="shared" si="22"/>
        <v>0</v>
      </c>
      <c r="R22" s="311">
        <v>3</v>
      </c>
      <c r="S22" s="311" t="s">
        <v>81</v>
      </c>
      <c r="T22" s="312" t="s">
        <v>181</v>
      </c>
      <c r="U22" s="312">
        <v>40</v>
      </c>
      <c r="V22" s="306">
        <v>0</v>
      </c>
      <c r="W22" s="306">
        <v>0</v>
      </c>
      <c r="X22" s="306"/>
      <c r="Y22" s="306">
        <v>2.2000000000000002</v>
      </c>
      <c r="Z22" s="306"/>
      <c r="AA22" s="306"/>
      <c r="AB22" s="306"/>
      <c r="AC22" s="306"/>
      <c r="AD22" s="306"/>
      <c r="AE22" s="306"/>
    </row>
    <row r="23" spans="1:33" ht="18" x14ac:dyDescent="0.3">
      <c r="A23" s="311">
        <v>4</v>
      </c>
      <c r="B23" s="311" t="s">
        <v>82</v>
      </c>
      <c r="C23" s="312" t="s">
        <v>182</v>
      </c>
      <c r="D23" s="312">
        <v>50</v>
      </c>
      <c r="E23" s="306">
        <v>2</v>
      </c>
      <c r="F23" s="306">
        <v>1</v>
      </c>
      <c r="G23" s="318">
        <v>4</v>
      </c>
      <c r="H23" s="315">
        <f t="shared" si="19"/>
        <v>4.4000000000000004</v>
      </c>
      <c r="I23" s="308">
        <f t="shared" si="20"/>
        <v>3</v>
      </c>
      <c r="J23" s="316">
        <f t="shared" si="23"/>
        <v>1.4000000000000004</v>
      </c>
      <c r="K23" s="318">
        <v>4</v>
      </c>
      <c r="L23" s="315">
        <f t="shared" si="21"/>
        <v>4.4000000000000004</v>
      </c>
      <c r="M23" s="317">
        <f>E23+F23+J23-2</f>
        <v>2.4000000000000004</v>
      </c>
      <c r="N23" s="317">
        <f t="shared" si="22"/>
        <v>2</v>
      </c>
      <c r="R23" s="311">
        <v>4</v>
      </c>
      <c r="S23" s="311" t="s">
        <v>82</v>
      </c>
      <c r="T23" s="312" t="s">
        <v>182</v>
      </c>
      <c r="U23" s="312">
        <v>50</v>
      </c>
      <c r="V23" s="306">
        <v>2</v>
      </c>
      <c r="W23" s="306">
        <v>1</v>
      </c>
      <c r="X23" s="306">
        <v>1.4000000000000004</v>
      </c>
      <c r="Y23" s="306"/>
      <c r="Z23" s="306"/>
      <c r="AA23" s="306"/>
      <c r="AB23" s="306"/>
      <c r="AC23" s="306"/>
      <c r="AD23" s="306"/>
      <c r="AE23" s="306">
        <v>2</v>
      </c>
    </row>
    <row r="24" spans="1:33" ht="18" x14ac:dyDescent="0.3">
      <c r="A24" s="311">
        <v>5</v>
      </c>
      <c r="B24" s="311" t="s">
        <v>83</v>
      </c>
      <c r="C24" s="312" t="s">
        <v>183</v>
      </c>
      <c r="D24" s="312">
        <v>78</v>
      </c>
      <c r="E24" s="306">
        <v>0</v>
      </c>
      <c r="F24" s="306">
        <v>0</v>
      </c>
      <c r="G24" s="318">
        <v>4</v>
      </c>
      <c r="H24" s="315">
        <f t="shared" si="19"/>
        <v>4.4000000000000004</v>
      </c>
      <c r="I24" s="308">
        <f t="shared" si="20"/>
        <v>0</v>
      </c>
      <c r="J24" s="316">
        <f t="shared" si="23"/>
        <v>4.4000000000000004</v>
      </c>
      <c r="K24" s="318">
        <v>4</v>
      </c>
      <c r="L24" s="315">
        <f t="shared" si="21"/>
        <v>4.4000000000000004</v>
      </c>
      <c r="M24" s="317">
        <f t="shared" si="24"/>
        <v>4.4000000000000004</v>
      </c>
      <c r="N24" s="317">
        <f t="shared" si="22"/>
        <v>0</v>
      </c>
      <c r="R24" s="311">
        <v>5</v>
      </c>
      <c r="S24" s="311" t="s">
        <v>83</v>
      </c>
      <c r="T24" s="312" t="s">
        <v>183</v>
      </c>
      <c r="U24" s="312">
        <v>78</v>
      </c>
      <c r="V24" s="306">
        <v>0</v>
      </c>
      <c r="W24" s="306">
        <v>0</v>
      </c>
      <c r="X24" s="306">
        <v>2.2000000000000002</v>
      </c>
      <c r="Y24" s="306">
        <v>2.2000000000000002</v>
      </c>
      <c r="Z24" s="306"/>
      <c r="AA24" s="306"/>
      <c r="AB24" s="306"/>
      <c r="AC24" s="306"/>
      <c r="AD24" s="306"/>
      <c r="AE24" s="306"/>
    </row>
    <row r="25" spans="1:33" ht="18" x14ac:dyDescent="0.3">
      <c r="A25" s="311">
        <v>6</v>
      </c>
      <c r="B25" s="311" t="s">
        <v>93</v>
      </c>
      <c r="C25" s="312" t="s">
        <v>94</v>
      </c>
      <c r="D25" s="312">
        <v>36.5</v>
      </c>
      <c r="E25" s="306">
        <v>0</v>
      </c>
      <c r="F25" s="306">
        <v>0</v>
      </c>
      <c r="G25" s="318">
        <v>2</v>
      </c>
      <c r="H25" s="315">
        <f t="shared" si="19"/>
        <v>2.2000000000000002</v>
      </c>
      <c r="I25" s="308">
        <f t="shared" si="20"/>
        <v>0</v>
      </c>
      <c r="J25" s="316">
        <f t="shared" si="23"/>
        <v>2.2000000000000002</v>
      </c>
      <c r="K25" s="318">
        <v>2</v>
      </c>
      <c r="L25" s="315">
        <f t="shared" si="21"/>
        <v>2.2000000000000002</v>
      </c>
      <c r="M25" s="317">
        <f t="shared" si="24"/>
        <v>2.2000000000000002</v>
      </c>
      <c r="N25" s="317">
        <f t="shared" si="22"/>
        <v>0</v>
      </c>
      <c r="R25" s="311">
        <v>6</v>
      </c>
      <c r="S25" s="311" t="s">
        <v>93</v>
      </c>
      <c r="T25" s="312" t="s">
        <v>94</v>
      </c>
      <c r="U25" s="312">
        <v>36.5</v>
      </c>
      <c r="V25" s="306">
        <v>0</v>
      </c>
      <c r="W25" s="306">
        <v>0</v>
      </c>
      <c r="X25" s="306"/>
      <c r="Y25" s="306"/>
      <c r="Z25" s="306">
        <v>2.2000000000000002</v>
      </c>
      <c r="AA25" s="306"/>
      <c r="AB25" s="306"/>
      <c r="AC25" s="306"/>
      <c r="AD25" s="306"/>
      <c r="AE25" s="306"/>
    </row>
    <row r="26" spans="1:33" ht="18" x14ac:dyDescent="0.3">
      <c r="A26" s="311">
        <v>7</v>
      </c>
      <c r="B26" s="311" t="s">
        <v>84</v>
      </c>
      <c r="C26" s="312" t="s">
        <v>184</v>
      </c>
      <c r="D26" s="312">
        <v>35</v>
      </c>
      <c r="E26" s="306">
        <v>0</v>
      </c>
      <c r="F26" s="306">
        <v>0</v>
      </c>
      <c r="G26" s="318">
        <v>2</v>
      </c>
      <c r="H26" s="315">
        <f t="shared" si="19"/>
        <v>2.2000000000000002</v>
      </c>
      <c r="I26" s="308">
        <f t="shared" si="20"/>
        <v>0</v>
      </c>
      <c r="J26" s="316">
        <f t="shared" si="23"/>
        <v>2.2000000000000002</v>
      </c>
      <c r="K26" s="318">
        <v>2</v>
      </c>
      <c r="L26" s="315">
        <f t="shared" si="21"/>
        <v>2.2000000000000002</v>
      </c>
      <c r="M26" s="317">
        <f t="shared" si="24"/>
        <v>2.2000000000000002</v>
      </c>
      <c r="N26" s="317">
        <f t="shared" si="22"/>
        <v>0</v>
      </c>
      <c r="R26" s="311">
        <v>7</v>
      </c>
      <c r="S26" s="311" t="s">
        <v>84</v>
      </c>
      <c r="T26" s="312" t="s">
        <v>184</v>
      </c>
      <c r="U26" s="312">
        <v>35</v>
      </c>
      <c r="V26" s="306">
        <v>0</v>
      </c>
      <c r="W26" s="306">
        <v>0</v>
      </c>
      <c r="X26" s="306">
        <v>2.2000000000000002</v>
      </c>
      <c r="Y26" s="306"/>
      <c r="Z26" s="306"/>
      <c r="AA26" s="306"/>
      <c r="AB26" s="306"/>
      <c r="AC26" s="306"/>
      <c r="AD26" s="306"/>
      <c r="AE26" s="306"/>
    </row>
    <row r="27" spans="1:33" ht="18" x14ac:dyDescent="0.3">
      <c r="A27" s="311">
        <v>8</v>
      </c>
      <c r="B27" s="311" t="s">
        <v>185</v>
      </c>
      <c r="C27" s="312" t="s">
        <v>186</v>
      </c>
      <c r="D27" s="312">
        <v>40</v>
      </c>
      <c r="E27" s="306">
        <v>0</v>
      </c>
      <c r="F27" s="306">
        <v>0</v>
      </c>
      <c r="G27" s="318">
        <v>2</v>
      </c>
      <c r="H27" s="315">
        <f t="shared" si="19"/>
        <v>2.2000000000000002</v>
      </c>
      <c r="I27" s="308">
        <f t="shared" si="20"/>
        <v>0</v>
      </c>
      <c r="J27" s="316">
        <f t="shared" si="23"/>
        <v>2.2000000000000002</v>
      </c>
      <c r="K27" s="318">
        <v>2</v>
      </c>
      <c r="L27" s="315">
        <f t="shared" si="21"/>
        <v>2.2000000000000002</v>
      </c>
      <c r="M27" s="317">
        <f t="shared" si="24"/>
        <v>2.2000000000000002</v>
      </c>
      <c r="N27" s="317">
        <f t="shared" si="22"/>
        <v>0</v>
      </c>
      <c r="R27" s="311">
        <v>8</v>
      </c>
      <c r="S27" s="311" t="s">
        <v>185</v>
      </c>
      <c r="T27" s="312" t="s">
        <v>186</v>
      </c>
      <c r="U27" s="312">
        <v>40</v>
      </c>
      <c r="V27" s="306">
        <v>0</v>
      </c>
      <c r="W27" s="306">
        <v>0</v>
      </c>
      <c r="X27" s="306">
        <v>2.2000000000000002</v>
      </c>
      <c r="Y27" s="306"/>
      <c r="Z27" s="306"/>
      <c r="AA27" s="306"/>
      <c r="AB27" s="306"/>
      <c r="AC27" s="306"/>
      <c r="AD27" s="306"/>
      <c r="AE27" s="306"/>
    </row>
    <row r="28" spans="1:33" ht="18" x14ac:dyDescent="0.3">
      <c r="A28" s="311">
        <v>9</v>
      </c>
      <c r="B28" s="311" t="s">
        <v>102</v>
      </c>
      <c r="C28" s="312" t="s">
        <v>103</v>
      </c>
      <c r="D28" s="312">
        <v>25</v>
      </c>
      <c r="E28" s="306">
        <v>0</v>
      </c>
      <c r="F28" s="306">
        <v>0</v>
      </c>
      <c r="G28" s="318">
        <v>2</v>
      </c>
      <c r="H28" s="315">
        <f t="shared" si="19"/>
        <v>2.2000000000000002</v>
      </c>
      <c r="I28" s="308">
        <f t="shared" si="20"/>
        <v>0</v>
      </c>
      <c r="J28" s="316">
        <f t="shared" si="23"/>
        <v>2.2000000000000002</v>
      </c>
      <c r="K28" s="318">
        <v>2</v>
      </c>
      <c r="L28" s="315">
        <f t="shared" si="21"/>
        <v>2.2000000000000002</v>
      </c>
      <c r="M28" s="317">
        <f t="shared" si="24"/>
        <v>2.2000000000000002</v>
      </c>
      <c r="N28" s="317">
        <f t="shared" si="22"/>
        <v>0</v>
      </c>
      <c r="R28" s="311">
        <v>9</v>
      </c>
      <c r="S28" s="311" t="s">
        <v>102</v>
      </c>
      <c r="T28" s="312" t="s">
        <v>103</v>
      </c>
      <c r="U28" s="312">
        <v>25</v>
      </c>
      <c r="V28" s="306">
        <v>0</v>
      </c>
      <c r="W28" s="306">
        <v>0</v>
      </c>
      <c r="X28" s="306"/>
      <c r="Y28" s="306"/>
      <c r="Z28" s="306">
        <v>2.2000000000000002</v>
      </c>
      <c r="AA28" s="306"/>
      <c r="AB28" s="306"/>
      <c r="AC28" s="306"/>
      <c r="AD28" s="306"/>
      <c r="AE28" s="306"/>
    </row>
    <row r="29" spans="1:33" ht="18" x14ac:dyDescent="0.3">
      <c r="A29" s="311">
        <v>10</v>
      </c>
      <c r="B29" s="311" t="s">
        <v>104</v>
      </c>
      <c r="C29" s="312" t="s">
        <v>105</v>
      </c>
      <c r="D29" s="312">
        <v>30</v>
      </c>
      <c r="E29" s="306">
        <v>0</v>
      </c>
      <c r="F29" s="306">
        <v>0</v>
      </c>
      <c r="G29" s="318">
        <v>2</v>
      </c>
      <c r="H29" s="315">
        <f t="shared" si="19"/>
        <v>2.2000000000000002</v>
      </c>
      <c r="I29" s="308">
        <f t="shared" si="20"/>
        <v>0</v>
      </c>
      <c r="J29" s="316">
        <f t="shared" si="23"/>
        <v>2.2000000000000002</v>
      </c>
      <c r="K29" s="318">
        <v>2</v>
      </c>
      <c r="L29" s="315">
        <f t="shared" si="21"/>
        <v>2.2000000000000002</v>
      </c>
      <c r="M29" s="317">
        <f t="shared" si="24"/>
        <v>2.2000000000000002</v>
      </c>
      <c r="N29" s="317">
        <f t="shared" si="22"/>
        <v>0</v>
      </c>
      <c r="R29" s="311">
        <v>10</v>
      </c>
      <c r="S29" s="311" t="s">
        <v>104</v>
      </c>
      <c r="T29" s="312" t="s">
        <v>105</v>
      </c>
      <c r="U29" s="312">
        <v>30</v>
      </c>
      <c r="V29" s="306">
        <v>0</v>
      </c>
      <c r="W29" s="306">
        <v>0</v>
      </c>
      <c r="X29" s="306"/>
      <c r="Y29" s="306">
        <v>2.2000000000000002</v>
      </c>
      <c r="Z29" s="306"/>
      <c r="AA29" s="306"/>
      <c r="AB29" s="306"/>
      <c r="AC29" s="306"/>
      <c r="AD29" s="306"/>
      <c r="AE29" s="306"/>
    </row>
    <row r="30" spans="1:33" ht="18" x14ac:dyDescent="0.3">
      <c r="A30" s="311">
        <v>11</v>
      </c>
      <c r="B30" s="311" t="s">
        <v>187</v>
      </c>
      <c r="C30" s="312" t="s">
        <v>188</v>
      </c>
      <c r="D30" s="312">
        <v>24</v>
      </c>
      <c r="E30" s="306">
        <v>0</v>
      </c>
      <c r="F30" s="306">
        <v>0</v>
      </c>
      <c r="G30" s="318">
        <v>2</v>
      </c>
      <c r="H30" s="315">
        <f t="shared" si="19"/>
        <v>2.2000000000000002</v>
      </c>
      <c r="I30" s="308">
        <f t="shared" si="20"/>
        <v>0</v>
      </c>
      <c r="J30" s="316">
        <f t="shared" si="23"/>
        <v>2.2000000000000002</v>
      </c>
      <c r="K30" s="318">
        <v>2</v>
      </c>
      <c r="L30" s="315">
        <f t="shared" si="21"/>
        <v>2.2000000000000002</v>
      </c>
      <c r="M30" s="317">
        <f t="shared" si="24"/>
        <v>2.2000000000000002</v>
      </c>
      <c r="N30" s="317">
        <f t="shared" si="22"/>
        <v>0</v>
      </c>
      <c r="R30" s="311">
        <v>11</v>
      </c>
      <c r="S30" s="311" t="s">
        <v>187</v>
      </c>
      <c r="T30" s="312" t="s">
        <v>188</v>
      </c>
      <c r="U30" s="312">
        <v>24</v>
      </c>
      <c r="V30" s="306">
        <v>0</v>
      </c>
      <c r="W30" s="306">
        <v>0</v>
      </c>
      <c r="X30" s="306"/>
      <c r="Y30" s="306">
        <v>2.2000000000000002</v>
      </c>
      <c r="Z30" s="306"/>
      <c r="AA30" s="306"/>
      <c r="AB30" s="306"/>
      <c r="AC30" s="306"/>
      <c r="AD30" s="306"/>
      <c r="AE30" s="306"/>
    </row>
    <row r="31" spans="1:33" x14ac:dyDescent="0.3">
      <c r="A31" s="314" t="s">
        <v>260</v>
      </c>
      <c r="B31" s="311"/>
      <c r="C31" s="312"/>
      <c r="D31" s="312"/>
      <c r="E31" s="319">
        <f>SUM(E20:E30)</f>
        <v>9</v>
      </c>
      <c r="F31" s="319">
        <f t="shared" ref="F31:I31" si="25">SUM(F20:F30)</f>
        <v>1</v>
      </c>
      <c r="G31" s="319">
        <f t="shared" ref="G31" si="26">SUM(G20:G30)</f>
        <v>33</v>
      </c>
      <c r="H31" s="319">
        <v>36</v>
      </c>
      <c r="I31" s="319">
        <f t="shared" si="25"/>
        <v>10</v>
      </c>
      <c r="J31" s="319">
        <v>26</v>
      </c>
      <c r="K31" s="319">
        <f t="shared" ref="K31" si="27">SUM(K20:K30)</f>
        <v>33</v>
      </c>
      <c r="L31" s="319">
        <f t="shared" ref="L31" si="28">SUM(L20:L30)</f>
        <v>36.300000000000004</v>
      </c>
      <c r="M31" s="319">
        <f t="shared" ref="M31" si="29">SUM(M20:M30)</f>
        <v>34.300000000000004</v>
      </c>
      <c r="N31" s="319">
        <f t="shared" ref="N31" si="30">SUM(N20:N30)</f>
        <v>2</v>
      </c>
      <c r="R31" s="314" t="s">
        <v>260</v>
      </c>
      <c r="S31" s="311"/>
      <c r="T31" s="312"/>
      <c r="U31" s="312"/>
      <c r="V31" s="319">
        <f>SUM(V20:V30)</f>
        <v>9</v>
      </c>
      <c r="W31" s="319">
        <f t="shared" ref="W31" si="31">SUM(W20:W30)</f>
        <v>1</v>
      </c>
      <c r="X31" s="319">
        <v>10</v>
      </c>
      <c r="Y31" s="319">
        <v>10</v>
      </c>
      <c r="Z31" s="319">
        <v>6</v>
      </c>
      <c r="AA31" s="319">
        <f t="shared" ref="AA31" si="32">SUM(AA20:AA30)</f>
        <v>0</v>
      </c>
      <c r="AB31" s="319">
        <f t="shared" ref="AB31" si="33">SUM(AB20:AB30)</f>
        <v>0</v>
      </c>
      <c r="AC31" s="319">
        <f t="shared" ref="AC31" si="34">SUM(AC20:AC30)</f>
        <v>0</v>
      </c>
      <c r="AD31" s="319">
        <f t="shared" ref="AD31" si="35">SUM(AD20:AD30)</f>
        <v>0</v>
      </c>
      <c r="AE31" s="319">
        <f t="shared" ref="AE31" si="36">SUM(AE20:AE30)</f>
        <v>2</v>
      </c>
      <c r="AF31" s="304">
        <v>36</v>
      </c>
      <c r="AG31" s="304">
        <v>2</v>
      </c>
    </row>
    <row r="32" spans="1:33" x14ac:dyDescent="0.3">
      <c r="A32" s="313" t="s">
        <v>26</v>
      </c>
      <c r="B32" s="320" t="s">
        <v>216</v>
      </c>
      <c r="C32" s="320"/>
      <c r="D32" s="321"/>
      <c r="E32" s="306"/>
      <c r="F32" s="306"/>
      <c r="G32" s="309"/>
      <c r="H32" s="309"/>
      <c r="I32" s="309"/>
      <c r="J32" s="309"/>
      <c r="K32" s="309"/>
      <c r="L32" s="309"/>
      <c r="M32" s="309"/>
      <c r="N32" s="309"/>
      <c r="R32" s="313" t="s">
        <v>26</v>
      </c>
      <c r="S32" s="320" t="s">
        <v>216</v>
      </c>
      <c r="T32" s="320"/>
      <c r="U32" s="321"/>
      <c r="V32" s="306"/>
      <c r="W32" s="306"/>
      <c r="X32" s="306"/>
      <c r="Y32" s="306"/>
      <c r="Z32" s="306"/>
      <c r="AA32" s="306"/>
      <c r="AB32" s="306"/>
      <c r="AC32" s="306"/>
      <c r="AD32" s="306"/>
      <c r="AE32" s="306"/>
    </row>
    <row r="33" spans="1:32" x14ac:dyDescent="0.3">
      <c r="A33" s="314">
        <v>2.1</v>
      </c>
      <c r="B33" s="447" t="s">
        <v>275</v>
      </c>
      <c r="C33" s="448"/>
      <c r="D33" s="448"/>
      <c r="E33" s="448"/>
      <c r="F33" s="449"/>
      <c r="G33" s="309"/>
      <c r="H33" s="309"/>
      <c r="I33" s="309"/>
      <c r="J33" s="309"/>
      <c r="K33" s="309"/>
      <c r="L33" s="309"/>
      <c r="M33" s="309"/>
      <c r="N33" s="309"/>
      <c r="R33" s="314">
        <v>2.1</v>
      </c>
      <c r="S33" s="445" t="s">
        <v>275</v>
      </c>
      <c r="T33" s="445"/>
      <c r="U33" s="445"/>
      <c r="V33" s="445"/>
      <c r="W33" s="445"/>
      <c r="X33" s="306"/>
      <c r="Y33" s="306"/>
      <c r="Z33" s="306"/>
      <c r="AA33" s="306"/>
      <c r="AB33" s="306"/>
      <c r="AC33" s="306"/>
      <c r="AD33" s="306"/>
      <c r="AE33" s="306"/>
    </row>
    <row r="34" spans="1:32" x14ac:dyDescent="0.3">
      <c r="A34" s="311">
        <v>1</v>
      </c>
      <c r="B34" s="311" t="s">
        <v>52</v>
      </c>
      <c r="C34" s="312" t="s">
        <v>74</v>
      </c>
      <c r="D34" s="312">
        <v>41</v>
      </c>
      <c r="E34" s="306">
        <v>0</v>
      </c>
      <c r="F34" s="306">
        <v>0</v>
      </c>
      <c r="G34" s="306">
        <v>0</v>
      </c>
      <c r="H34" s="306">
        <v>0</v>
      </c>
      <c r="I34" s="306">
        <v>0</v>
      </c>
      <c r="J34" s="306">
        <v>0</v>
      </c>
      <c r="K34" s="309">
        <v>2</v>
      </c>
      <c r="L34" s="309">
        <v>2</v>
      </c>
      <c r="M34" s="309">
        <v>0</v>
      </c>
      <c r="N34" s="322">
        <f>L34-M34</f>
        <v>2</v>
      </c>
      <c r="R34" s="311">
        <v>1</v>
      </c>
      <c r="S34" s="311" t="s">
        <v>52</v>
      </c>
      <c r="T34" s="312" t="s">
        <v>74</v>
      </c>
      <c r="U34" s="312">
        <v>41</v>
      </c>
      <c r="V34" s="306">
        <v>0</v>
      </c>
      <c r="W34" s="306">
        <v>0</v>
      </c>
      <c r="X34" s="306">
        <v>0</v>
      </c>
      <c r="Y34" s="306">
        <v>0</v>
      </c>
      <c r="Z34" s="306">
        <v>0</v>
      </c>
      <c r="AA34" s="306">
        <v>1</v>
      </c>
      <c r="AB34" s="306">
        <v>1</v>
      </c>
      <c r="AC34" s="306"/>
      <c r="AD34" s="306"/>
      <c r="AE34" s="306"/>
    </row>
    <row r="35" spans="1:32" x14ac:dyDescent="0.3">
      <c r="A35" s="311">
        <v>2</v>
      </c>
      <c r="B35" s="311" t="s">
        <v>57</v>
      </c>
      <c r="C35" s="312" t="s">
        <v>58</v>
      </c>
      <c r="D35" s="312">
        <v>30</v>
      </c>
      <c r="E35" s="306">
        <v>0</v>
      </c>
      <c r="F35" s="306">
        <v>0</v>
      </c>
      <c r="G35" s="306">
        <v>0</v>
      </c>
      <c r="H35" s="306">
        <v>0</v>
      </c>
      <c r="I35" s="306">
        <v>0</v>
      </c>
      <c r="J35" s="306">
        <v>0</v>
      </c>
      <c r="K35" s="309">
        <v>2</v>
      </c>
      <c r="L35" s="309">
        <v>2</v>
      </c>
      <c r="M35" s="309">
        <v>0</v>
      </c>
      <c r="N35" s="322">
        <f t="shared" ref="N35" si="37">L35-M35</f>
        <v>2</v>
      </c>
      <c r="R35" s="311">
        <v>2</v>
      </c>
      <c r="S35" s="311" t="s">
        <v>57</v>
      </c>
      <c r="T35" s="312" t="s">
        <v>58</v>
      </c>
      <c r="U35" s="312">
        <v>30</v>
      </c>
      <c r="V35" s="306">
        <v>0</v>
      </c>
      <c r="W35" s="306">
        <v>0</v>
      </c>
      <c r="X35" s="306">
        <v>0</v>
      </c>
      <c r="Y35" s="306">
        <v>0</v>
      </c>
      <c r="Z35" s="306">
        <v>0</v>
      </c>
      <c r="AA35" s="306">
        <v>1</v>
      </c>
      <c r="AB35" s="306">
        <v>1</v>
      </c>
      <c r="AC35" s="306"/>
      <c r="AD35" s="306"/>
      <c r="AE35" s="306"/>
    </row>
    <row r="36" spans="1:32" x14ac:dyDescent="0.3">
      <c r="A36" s="311" t="s">
        <v>260</v>
      </c>
      <c r="B36" s="311"/>
      <c r="C36" s="312"/>
      <c r="D36" s="312"/>
      <c r="E36" s="319">
        <f>SUM(E34:E35)</f>
        <v>0</v>
      </c>
      <c r="F36" s="319">
        <f t="shared" ref="F36:J36" si="38">SUM(F34:F35)</f>
        <v>0</v>
      </c>
      <c r="G36" s="319"/>
      <c r="H36" s="319"/>
      <c r="I36" s="319">
        <f t="shared" si="38"/>
        <v>0</v>
      </c>
      <c r="J36" s="319">
        <f t="shared" si="38"/>
        <v>0</v>
      </c>
      <c r="K36" s="319">
        <f t="shared" ref="K36" si="39">SUM(K34:K35)</f>
        <v>4</v>
      </c>
      <c r="L36" s="319">
        <f t="shared" ref="L36" si="40">SUM(L34:L35)</f>
        <v>4</v>
      </c>
      <c r="M36" s="319">
        <f t="shared" ref="M36" si="41">SUM(M34:M35)</f>
        <v>0</v>
      </c>
      <c r="N36" s="319">
        <f t="shared" ref="N36" si="42">SUM(N34:N35)</f>
        <v>4</v>
      </c>
      <c r="R36" s="311" t="s">
        <v>260</v>
      </c>
      <c r="S36" s="311"/>
      <c r="T36" s="312"/>
      <c r="U36" s="312"/>
      <c r="V36" s="319">
        <f>SUM(V34:V35)</f>
        <v>0</v>
      </c>
      <c r="W36" s="319">
        <f t="shared" ref="W36" si="43">SUM(W34:W35)</f>
        <v>0</v>
      </c>
      <c r="X36" s="319">
        <f t="shared" ref="X36" si="44">SUM(X34:X35)</f>
        <v>0</v>
      </c>
      <c r="Y36" s="319">
        <f t="shared" ref="Y36" si="45">SUM(Y34:Y35)</f>
        <v>0</v>
      </c>
      <c r="Z36" s="319">
        <f t="shared" ref="Z36" si="46">SUM(Z34:Z35)</f>
        <v>0</v>
      </c>
      <c r="AA36" s="319">
        <f t="shared" ref="AA36" si="47">SUM(AA34:AA35)</f>
        <v>2</v>
      </c>
      <c r="AB36" s="319">
        <f t="shared" ref="AB36" si="48">SUM(AB34:AB35)</f>
        <v>2</v>
      </c>
      <c r="AC36" s="319">
        <f t="shared" ref="AC36" si="49">SUM(AC34:AC35)</f>
        <v>0</v>
      </c>
      <c r="AD36" s="319">
        <f t="shared" ref="AD36" si="50">SUM(AD34:AD35)</f>
        <v>0</v>
      </c>
      <c r="AE36" s="319">
        <f t="shared" ref="AE36" si="51">SUM(AE34:AE35)</f>
        <v>0</v>
      </c>
      <c r="AF36" s="304">
        <v>4</v>
      </c>
    </row>
    <row r="37" spans="1:32" x14ac:dyDescent="0.3">
      <c r="A37" s="314">
        <v>2.2000000000000002</v>
      </c>
      <c r="B37" s="447" t="s">
        <v>276</v>
      </c>
      <c r="C37" s="448"/>
      <c r="D37" s="448"/>
      <c r="E37" s="448"/>
      <c r="F37" s="449"/>
      <c r="G37" s="306"/>
      <c r="H37" s="306"/>
      <c r="I37" s="309"/>
      <c r="J37" s="309"/>
      <c r="K37" s="309"/>
      <c r="L37" s="309"/>
      <c r="M37" s="309"/>
      <c r="N37" s="309"/>
      <c r="R37" s="314">
        <v>2.2000000000000002</v>
      </c>
      <c r="S37" s="445" t="s">
        <v>276</v>
      </c>
      <c r="T37" s="445"/>
      <c r="U37" s="445"/>
      <c r="V37" s="445"/>
      <c r="W37" s="445"/>
      <c r="X37" s="306"/>
      <c r="Y37" s="306"/>
      <c r="Z37" s="306"/>
      <c r="AA37" s="306"/>
      <c r="AB37" s="306"/>
      <c r="AC37" s="306"/>
      <c r="AD37" s="306"/>
      <c r="AE37" s="306"/>
    </row>
    <row r="38" spans="1:32" ht="18" x14ac:dyDescent="0.3">
      <c r="A38" s="311">
        <v>1</v>
      </c>
      <c r="B38" s="311" t="s">
        <v>95</v>
      </c>
      <c r="C38" s="312" t="s">
        <v>96</v>
      </c>
      <c r="D38" s="312">
        <v>21</v>
      </c>
      <c r="E38" s="306">
        <v>0</v>
      </c>
      <c r="F38" s="306">
        <v>0</v>
      </c>
      <c r="G38" s="306">
        <v>0</v>
      </c>
      <c r="H38" s="306">
        <v>0</v>
      </c>
      <c r="I38" s="306">
        <v>0</v>
      </c>
      <c r="J38" s="306">
        <v>0</v>
      </c>
      <c r="K38" s="327">
        <v>1</v>
      </c>
      <c r="L38" s="327">
        <f t="shared" ref="L38:L43" si="52">K38*1.1</f>
        <v>1.1000000000000001</v>
      </c>
      <c r="M38" s="309">
        <v>0</v>
      </c>
      <c r="N38" s="309">
        <f>L38-M38</f>
        <v>1.1000000000000001</v>
      </c>
      <c r="R38" s="311">
        <v>1</v>
      </c>
      <c r="S38" s="311" t="s">
        <v>95</v>
      </c>
      <c r="T38" s="312" t="s">
        <v>96</v>
      </c>
      <c r="U38" s="312">
        <v>21</v>
      </c>
      <c r="V38" s="306">
        <v>0</v>
      </c>
      <c r="W38" s="306">
        <v>0</v>
      </c>
      <c r="X38" s="306"/>
      <c r="Y38" s="306"/>
      <c r="Z38" s="306"/>
      <c r="AA38" s="306">
        <v>1.1000000000000001</v>
      </c>
      <c r="AB38" s="306"/>
      <c r="AC38" s="306"/>
      <c r="AD38" s="306"/>
      <c r="AE38" s="306"/>
    </row>
    <row r="39" spans="1:32" ht="18" x14ac:dyDescent="0.3">
      <c r="A39" s="311">
        <v>2</v>
      </c>
      <c r="B39" s="311" t="s">
        <v>97</v>
      </c>
      <c r="C39" s="312" t="s">
        <v>98</v>
      </c>
      <c r="D39" s="312">
        <v>65</v>
      </c>
      <c r="E39" s="306">
        <v>0</v>
      </c>
      <c r="F39" s="306">
        <v>0</v>
      </c>
      <c r="G39" s="306">
        <v>0</v>
      </c>
      <c r="H39" s="306">
        <v>0</v>
      </c>
      <c r="I39" s="306">
        <v>0</v>
      </c>
      <c r="J39" s="306">
        <v>0</v>
      </c>
      <c r="K39" s="328">
        <v>3</v>
      </c>
      <c r="L39" s="327">
        <f t="shared" si="52"/>
        <v>3.3000000000000003</v>
      </c>
      <c r="M39" s="309">
        <v>0</v>
      </c>
      <c r="N39" s="309">
        <f t="shared" ref="N39:N43" si="53">L39-M39</f>
        <v>3.3000000000000003</v>
      </c>
      <c r="R39" s="311">
        <v>2</v>
      </c>
      <c r="S39" s="311" t="s">
        <v>97</v>
      </c>
      <c r="T39" s="312" t="s">
        <v>98</v>
      </c>
      <c r="U39" s="312">
        <v>65</v>
      </c>
      <c r="V39" s="306">
        <v>0</v>
      </c>
      <c r="W39" s="306">
        <v>0</v>
      </c>
      <c r="X39" s="306"/>
      <c r="Y39" s="306"/>
      <c r="Z39" s="306"/>
      <c r="AA39" s="306"/>
      <c r="AB39" s="306">
        <v>1</v>
      </c>
      <c r="AC39" s="306">
        <v>1</v>
      </c>
      <c r="AD39" s="306">
        <v>1.1000000000000001</v>
      </c>
      <c r="AE39" s="306"/>
    </row>
    <row r="40" spans="1:32" ht="18" x14ac:dyDescent="0.3">
      <c r="A40" s="311">
        <v>3</v>
      </c>
      <c r="B40" s="311" t="s">
        <v>99</v>
      </c>
      <c r="C40" s="312" t="s">
        <v>100</v>
      </c>
      <c r="D40" s="312">
        <v>29</v>
      </c>
      <c r="E40" s="306">
        <v>0</v>
      </c>
      <c r="F40" s="306">
        <v>0</v>
      </c>
      <c r="G40" s="306">
        <v>0</v>
      </c>
      <c r="H40" s="306">
        <v>0</v>
      </c>
      <c r="I40" s="306">
        <v>0</v>
      </c>
      <c r="J40" s="306">
        <v>0</v>
      </c>
      <c r="K40" s="328">
        <v>2</v>
      </c>
      <c r="L40" s="327">
        <f t="shared" si="52"/>
        <v>2.2000000000000002</v>
      </c>
      <c r="M40" s="309">
        <v>0</v>
      </c>
      <c r="N40" s="309">
        <f t="shared" si="53"/>
        <v>2.2000000000000002</v>
      </c>
      <c r="R40" s="311">
        <v>3</v>
      </c>
      <c r="S40" s="311" t="s">
        <v>99</v>
      </c>
      <c r="T40" s="312" t="s">
        <v>100</v>
      </c>
      <c r="U40" s="312">
        <v>29</v>
      </c>
      <c r="V40" s="306">
        <v>0</v>
      </c>
      <c r="W40" s="306">
        <v>0</v>
      </c>
      <c r="X40" s="306"/>
      <c r="Y40" s="306"/>
      <c r="Z40" s="306"/>
      <c r="AA40" s="306"/>
      <c r="AB40" s="306">
        <v>1</v>
      </c>
      <c r="AC40" s="306">
        <v>1.2</v>
      </c>
      <c r="AD40" s="306"/>
      <c r="AE40" s="306"/>
    </row>
    <row r="41" spans="1:32" ht="18" x14ac:dyDescent="0.3">
      <c r="A41" s="311">
        <v>4</v>
      </c>
      <c r="B41" s="311" t="s">
        <v>101</v>
      </c>
      <c r="C41" s="312" t="s">
        <v>189</v>
      </c>
      <c r="D41" s="312">
        <v>43</v>
      </c>
      <c r="E41" s="306">
        <v>0</v>
      </c>
      <c r="F41" s="306">
        <v>0</v>
      </c>
      <c r="G41" s="306">
        <v>0</v>
      </c>
      <c r="H41" s="306">
        <v>0</v>
      </c>
      <c r="I41" s="306">
        <v>0</v>
      </c>
      <c r="J41" s="306">
        <v>0</v>
      </c>
      <c r="K41" s="328">
        <v>2</v>
      </c>
      <c r="L41" s="327">
        <f t="shared" si="52"/>
        <v>2.2000000000000002</v>
      </c>
      <c r="M41" s="309">
        <v>0</v>
      </c>
      <c r="N41" s="309">
        <f t="shared" si="53"/>
        <v>2.2000000000000002</v>
      </c>
      <c r="R41" s="311">
        <v>4</v>
      </c>
      <c r="S41" s="311" t="s">
        <v>101</v>
      </c>
      <c r="T41" s="312" t="s">
        <v>189</v>
      </c>
      <c r="U41" s="312">
        <v>43</v>
      </c>
      <c r="V41" s="306">
        <v>0</v>
      </c>
      <c r="W41" s="306">
        <v>0</v>
      </c>
      <c r="X41" s="306"/>
      <c r="Y41" s="306"/>
      <c r="Z41" s="306"/>
      <c r="AA41" s="306"/>
      <c r="AB41" s="306"/>
      <c r="AC41" s="306">
        <v>1.2</v>
      </c>
      <c r="AD41" s="306">
        <v>1</v>
      </c>
      <c r="AE41" s="306"/>
    </row>
    <row r="42" spans="1:32" ht="18" x14ac:dyDescent="0.3">
      <c r="A42" s="311">
        <v>5</v>
      </c>
      <c r="B42" s="311" t="s">
        <v>85</v>
      </c>
      <c r="C42" s="312" t="s">
        <v>86</v>
      </c>
      <c r="D42" s="312">
        <v>75</v>
      </c>
      <c r="E42" s="306">
        <v>0</v>
      </c>
      <c r="F42" s="306">
        <v>0</v>
      </c>
      <c r="G42" s="306">
        <v>0</v>
      </c>
      <c r="H42" s="306">
        <v>0</v>
      </c>
      <c r="I42" s="306">
        <v>0</v>
      </c>
      <c r="J42" s="306">
        <v>0</v>
      </c>
      <c r="K42" s="328">
        <v>4</v>
      </c>
      <c r="L42" s="327">
        <f t="shared" si="52"/>
        <v>4.4000000000000004</v>
      </c>
      <c r="M42" s="309">
        <v>0</v>
      </c>
      <c r="N42" s="309">
        <f t="shared" si="53"/>
        <v>4.4000000000000004</v>
      </c>
      <c r="R42" s="311">
        <v>5</v>
      </c>
      <c r="S42" s="311" t="s">
        <v>85</v>
      </c>
      <c r="T42" s="312" t="s">
        <v>86</v>
      </c>
      <c r="U42" s="312">
        <v>75</v>
      </c>
      <c r="V42" s="306">
        <v>0</v>
      </c>
      <c r="W42" s="306">
        <v>0</v>
      </c>
      <c r="X42" s="306"/>
      <c r="Y42" s="306"/>
      <c r="Z42" s="306"/>
      <c r="AA42" s="306">
        <v>2</v>
      </c>
      <c r="AB42" s="306">
        <v>2</v>
      </c>
      <c r="AC42" s="306">
        <v>0.4</v>
      </c>
      <c r="AD42" s="306"/>
      <c r="AE42" s="306"/>
    </row>
    <row r="43" spans="1:32" ht="18" x14ac:dyDescent="0.3">
      <c r="A43" s="311">
        <v>6</v>
      </c>
      <c r="B43" s="311" t="s">
        <v>87</v>
      </c>
      <c r="C43" s="312" t="s">
        <v>88</v>
      </c>
      <c r="D43" s="312">
        <v>30</v>
      </c>
      <c r="E43" s="306">
        <v>0</v>
      </c>
      <c r="F43" s="306">
        <v>0</v>
      </c>
      <c r="G43" s="306">
        <v>0</v>
      </c>
      <c r="H43" s="306">
        <v>0</v>
      </c>
      <c r="I43" s="306">
        <v>0</v>
      </c>
      <c r="J43" s="306">
        <v>0</v>
      </c>
      <c r="K43" s="328">
        <v>2</v>
      </c>
      <c r="L43" s="327">
        <f t="shared" si="52"/>
        <v>2.2000000000000002</v>
      </c>
      <c r="M43" s="309">
        <v>0</v>
      </c>
      <c r="N43" s="309">
        <f t="shared" si="53"/>
        <v>2.2000000000000002</v>
      </c>
      <c r="R43" s="311">
        <v>6</v>
      </c>
      <c r="S43" s="311" t="s">
        <v>87</v>
      </c>
      <c r="T43" s="312" t="s">
        <v>88</v>
      </c>
      <c r="U43" s="312">
        <v>30</v>
      </c>
      <c r="V43" s="306">
        <v>0</v>
      </c>
      <c r="W43" s="306">
        <v>0</v>
      </c>
      <c r="X43" s="306"/>
      <c r="Y43" s="306"/>
      <c r="Z43" s="306"/>
      <c r="AA43" s="306">
        <v>2</v>
      </c>
      <c r="AB43" s="306"/>
      <c r="AC43" s="306">
        <v>0.2</v>
      </c>
      <c r="AD43" s="306"/>
      <c r="AE43" s="306"/>
    </row>
    <row r="44" spans="1:32" x14ac:dyDescent="0.3">
      <c r="A44" s="314" t="s">
        <v>260</v>
      </c>
      <c r="B44" s="311"/>
      <c r="C44" s="312"/>
      <c r="D44" s="312"/>
      <c r="E44" s="319">
        <f>SUM(E38:E43)</f>
        <v>0</v>
      </c>
      <c r="F44" s="319">
        <f t="shared" ref="F44:M44" si="54">SUM(F38:F43)</f>
        <v>0</v>
      </c>
      <c r="G44" s="319">
        <f t="shared" si="54"/>
        <v>0</v>
      </c>
      <c r="H44" s="319">
        <f t="shared" si="54"/>
        <v>0</v>
      </c>
      <c r="I44" s="319">
        <f t="shared" si="54"/>
        <v>0</v>
      </c>
      <c r="J44" s="319">
        <f t="shared" si="54"/>
        <v>0</v>
      </c>
      <c r="K44" s="319">
        <f t="shared" si="54"/>
        <v>14</v>
      </c>
      <c r="L44" s="319">
        <v>15</v>
      </c>
      <c r="M44" s="319">
        <f t="shared" si="54"/>
        <v>0</v>
      </c>
      <c r="N44" s="319">
        <v>15</v>
      </c>
      <c r="R44" s="314" t="s">
        <v>260</v>
      </c>
      <c r="S44" s="311"/>
      <c r="T44" s="312"/>
      <c r="U44" s="312"/>
      <c r="V44" s="319">
        <f>SUM(V38:V43)</f>
        <v>0</v>
      </c>
      <c r="W44" s="319">
        <f t="shared" ref="W44" si="55">SUM(W38:W43)</f>
        <v>0</v>
      </c>
      <c r="X44" s="319">
        <f t="shared" ref="X44" si="56">SUM(X38:X43)</f>
        <v>0</v>
      </c>
      <c r="Y44" s="319">
        <f t="shared" ref="Y44" si="57">SUM(Y38:Y43)</f>
        <v>0</v>
      </c>
      <c r="Z44" s="319">
        <f t="shared" ref="Z44" si="58">SUM(Z38:Z43)</f>
        <v>0</v>
      </c>
      <c r="AA44" s="319">
        <v>5</v>
      </c>
      <c r="AB44" s="319">
        <f t="shared" ref="AB44" si="59">SUM(AB38:AB43)</f>
        <v>4</v>
      </c>
      <c r="AC44" s="319">
        <f t="shared" ref="AC44" si="60">SUM(AC38:AC43)</f>
        <v>4</v>
      </c>
      <c r="AD44" s="319">
        <v>2</v>
      </c>
      <c r="AE44" s="319">
        <f t="shared" ref="AE44" si="61">SUM(AE38:AE43)</f>
        <v>0</v>
      </c>
      <c r="AF44" s="304">
        <v>15</v>
      </c>
    </row>
  </sheetData>
  <mergeCells count="18">
    <mergeCell ref="X4:Z4"/>
    <mergeCell ref="AA4:AE4"/>
    <mergeCell ref="V1:W1"/>
    <mergeCell ref="S3:W3"/>
    <mergeCell ref="S4:U4"/>
    <mergeCell ref="S19:U19"/>
    <mergeCell ref="S33:W33"/>
    <mergeCell ref="S37:W37"/>
    <mergeCell ref="E1:F1"/>
    <mergeCell ref="B19:D19"/>
    <mergeCell ref="B4:D4"/>
    <mergeCell ref="B33:F33"/>
    <mergeCell ref="B37:F37"/>
    <mergeCell ref="B3:F3"/>
    <mergeCell ref="G1:J1"/>
    <mergeCell ref="K1:N1"/>
    <mergeCell ref="G4:J4"/>
    <mergeCell ref="K4:N4"/>
  </mergeCells>
  <pageMargins left="0.7" right="0.7" top="0.75" bottom="0.75" header="0.3" footer="0.3"/>
  <pageSetup paperSize="9" orientation="portrait" horizontalDpi="200" verticalDpi="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Tuyến trợ giá</vt:lpstr>
      <vt:lpstr>TMĐT 70% ebus 0% diesel</vt:lpstr>
      <vt:lpstr>Mạng lướii</vt:lpstr>
      <vt:lpstr>Điểm đầu cuối</vt:lpstr>
      <vt:lpstr>Phương tiện</vt:lpstr>
      <vt:lpstr>Các chỉ tiêu 24.6</vt:lpstr>
      <vt:lpstr>tính toán số phương tiện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HUU THANH</dc:creator>
  <cp:lastModifiedBy>Windows 10</cp:lastModifiedBy>
  <cp:lastPrinted>2026-06-24T00:52:27Z</cp:lastPrinted>
  <dcterms:created xsi:type="dcterms:W3CDTF">2012-12-27T06:08:29Z</dcterms:created>
  <dcterms:modified xsi:type="dcterms:W3CDTF">2026-10-07T17:21:55Z</dcterms:modified>
</cp:coreProperties>
</file>